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9270" tabRatio="622"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<sst xmlns="http://schemas.openxmlformats.org/spreadsheetml/2006/main" count="1598" uniqueCount="654">
  <si>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</si>
  <si>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</si>
  <si>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</si>
  <si>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</si>
  <si>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</si>
  <si>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</si>
  <si>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</si>
  <si>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</si>
  <si>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</si>
  <si>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</si>
  <si>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</si>
  <si>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</si>
  <si>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</si>
  <si>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</si>
  <si>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</si>
  <si>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</si>
  <si>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</si>
  <si>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</si>
  <si>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</si>
  <si>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</si>
  <si>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</si>
  <si>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</si>
  <si>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</si>
  <si>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</si>
  <si>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</si>
  <si>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</si>
  <si>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</si>
  <si>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</si>
  <si>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</si>
  <si>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</si>
  <si>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</si>
  <si>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</si>
  <si>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</si>
  <si>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</si>
  <si>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</si>
  <si>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</si>
  <si>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</si>
  <si>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</si>
  <si>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</si>
  <si>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</si>
  <si>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</si>
  <si>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</si>
  <si>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</si>
  <si>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</si>
  <si>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</si>
  <si>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</si>
  <si>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</si>
  <si>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</si>
  <si>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</si>
  <si>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</si>
  <si>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</si>
  <si>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</si>
  <si>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</si>
  <si>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</si>
  <si>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</si>
  <si>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</si>
  <si>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</si>
  <si>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</si>
  <si>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</si>
  <si>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</si>
  <si>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</si>
  <si>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</si>
  <si>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</si>
  <si>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</si>
  <si>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</si>
  <si>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</si>
  <si>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</si>
  <si>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</si>
  <si>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</si>
  <si>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</si>
  <si>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</si>
  <si>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</si>
  <si>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</si>
  <si>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</si>
  <si>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</si>
  <si>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</si>
  <si>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</si>
  <si>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</si>
  <si>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</si>
  <si>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</si>
  <si>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</si>
  <si>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</si>
  <si>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</si>
  <si>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</si>
  <si>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</si>
  <si>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</si>
  <si>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</si>
  <si>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</si>
  <si>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</si>
  <si>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</si>
  <si>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</si>
  <si>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</si>
  <si>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</si>
  <si>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</si>
  <si>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</si>
  <si>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</si>
  <si>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</si>
  <si>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</si>
  <si>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</si>
  <si>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</si>
  <si>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</si>
  <si>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</si>
  <si>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</si>
  <si>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</si>
  <si>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</si>
  <si>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</si>
  <si>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</si>
  <si>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</si>
  <si>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</si>
  <si>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</si>
  <si>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</si>
  <si>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</si>
  <si>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</si>
  <si>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</si>
  <si>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</si>
  <si>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</si>
  <si>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</si>
  <si>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</si>
  <si>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</si>
  <si>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</si>
  <si>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</si>
  <si>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</si>
  <si>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</si>
  <si>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</si>
  <si>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</si>
  <si>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</si>
  <si>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</si>
  <si>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</si>
  <si>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</si>
  <si>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</si>
  <si>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</si>
  <si>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</si>
  <si>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</si>
  <si>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</si>
  <si>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</si>
  <si>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</si>
  <si>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</si>
  <si>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</si>
  <si>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</si>
  <si>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</si>
  <si>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</si>
  <si>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</si>
  <si>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</si>
  <si>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</si>
  <si>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</si>
  <si>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</si>
  <si>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</si>
  <si>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</si>
  <si>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</si>
  <si>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</si>
  <si>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</si>
  <si>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</si>
  <si>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</si>
  <si>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</si>
  <si>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</si>
  <si>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</si>
  <si>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</si>
  <si>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</si>
  <si>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</si>
  <si>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</si>
  <si>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</si>
  <si>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</si>
  <si>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</si>
  <si>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</si>
  <si>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</si>
  <si>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</si>
  <si>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</si>
  <si>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</si>
  <si>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</si>
  <si>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</si>
  <si>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</si>
  <si>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</si>
  <si>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</si>
  <si>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</si>
  <si>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</si>
  <si>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</si>
  <si>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</si>
  <si>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</si>
  <si>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</si>
  <si>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</si>
  <si>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</si>
  <si>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</si>
  <si>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</si>
  <si>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</si>
  <si>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</si>
  <si>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</si>
  <si>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</si>
  <si>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</si>
  <si>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</si>
  <si>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</si>
  <si>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</si>
  <si>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</si>
  <si>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</si>
  <si>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</si>
  <si>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</si>
  <si>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</si>
  <si>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</si>
  <si>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</si>
  <si>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</si>
  <si>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</si>
  <si>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</si>
  <si>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</si>
  <si>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</si>
  <si>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</si>
  <si>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</si>
  <si>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</si>
  <si>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</si>
  <si>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</si>
  <si>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</si>
  <si>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</si>
  <si>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</si>
  <si>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</si>
  <si>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</si>
  <si>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</si>
  <si>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</si>
  <si>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</si>
  <si>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</si>
  <si>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</si>
  <si>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</si>
  <si>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</si>
  <si>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</si>
  <si>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</si>
  <si>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</si>
  <si>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</si>
  <si>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</si>
  <si>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</si>
  <si>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</si>
  <si>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</si>
  <si>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</si>
  <si>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</si>
  <si>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</si>
  <si>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</si>
  <si>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</si>
  <si>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</si>
  <si>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</si>
  <si>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</si>
  <si>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</si>
  <si>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</si>
  <si>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</si>
  <si>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</si>
  <si>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</si>
  <si>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</si>
  <si>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</si>
  <si>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</si>
  <si>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</si>
  <si>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</si>
  <si>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</si>
  <si>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</si>
  <si>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</si>
  <si>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</si>
  <si>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</si>
  <si>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</si>
  <si>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</si>
  <si>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</si>
  <si>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</si>
  <si>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</si>
  <si>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</si>
  <si>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</si>
  <si>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</si>
  <si>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</si>
  <si>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</si>
  <si>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</si>
  <si>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</si>
  <si>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</si>
  <si>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</si>
  <si>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</si>
  <si>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</si>
  <si>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</si>
  <si>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</si>
  <si>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</si>
  <si>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</si>
  <si>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</si>
  <si>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</si>
  <si>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</si>
  <si>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</si>
  <si>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</si>
  <si>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</si>
  <si>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</si>
  <si>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</si>
  <si>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</si>
  <si>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</si>
  <si>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</si>
  <si>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</si>
  <si>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</si>
  <si>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</si>
  <si>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</si>
  <si>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</si>
  <si>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</si>
  <si>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</si>
  <si>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</si>
  <si>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</si>
  <si>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</si>
  <si>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</si>
  <si>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</si>
  <si>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</si>
  <si>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</si>
  <si>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</si>
  <si>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</si>
  <si>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</si>
  <si>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</si>
  <si>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</si>
  <si>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</si>
  <si>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</si>
  <si>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</si>
  <si>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</si>
  <si>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</si>
  <si>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</si>
  <si>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</si>
  <si>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</si>
  <si>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</si>
  <si>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</si>
  <si>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</si>
  <si>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</si>
  <si>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</si>
  <si>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</si>
  <si>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</si>
  <si>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</si>
  <si>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</si>
  <si>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</si>
  <si>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</si>
  <si>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</si>
  <si>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</si>
  <si>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</si>
  <si>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</si>
  <si>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</si>
  <si>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</si>
  <si>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</si>
  <si>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</si>
  <si>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</si>
  <si>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</si>
  <si>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</si>
  <si>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</si>
  <si>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</si>
  <si>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</si>
  <si>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</si>
  <si>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</si>
  <si>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</si>
  <si>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</si>
  <si>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</si>
  <si>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</si>
  <si>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</si>
  <si>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</si>
  <si>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</si>
  <si>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</si>
  <si>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</si>
  <si>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</si>
  <si>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</si>
  <si>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</si>
  <si>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</si>
  <si>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</si>
  <si>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</si>
  <si>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</si>
  <si>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</si>
  <si>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</si>
  <si>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</si>
  <si>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</si>
  <si>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</si>
  <si>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</si>
  <si>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</si>
  <si>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</si>
  <si>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</si>
  <si>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</si>
  <si>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</si>
  <si>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</si>
  <si>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</si>
  <si>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</si>
  <si>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</si>
  <si>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</si>
  <si>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</si>
  <si>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</si>
  <si>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</si>
  <si>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</si>
  <si>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</si>
  <si>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</si>
  <si>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</si>
  <si>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</si>
  <si>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</si>
  <si>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</si>
  <si>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</si>
  <si>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</si>
  <si>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</si>
  <si>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</si>
  <si>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</si>
  <si>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</si>
  <si>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</si>
  <si>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</si>
  <si>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</si>
  <si>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</si>
  <si>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</si>
  <si>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</si>
  <si>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</si>
  <si>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</si>
  <si>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</si>
  <si>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</si>
  <si>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</si>
  <si>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</si>
  <si>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</si>
  <si>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</si>
  <si>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</si>
  <si>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</si>
  <si>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</si>
  <si>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</si>
  <si>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</si>
  <si>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</si>
  <si>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</si>
  <si>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</si>
  <si>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</si>
  <si>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</si>
  <si>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</si>
  <si>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</si>
  <si>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</si>
  <si>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</si>
  <si>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</si>
  <si>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</si>
  <si>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</si>
  <si>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</si>
  <si>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</si>
  <si>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</si>
  <si>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</si>
  <si>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</si>
  <si>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</si>
  <si>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</si>
  <si>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</si>
  <si>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</si>
  <si>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</si>
  <si>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</si>
  <si>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</si>
  <si>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</si>
  <si>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</si>
  <si>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</si>
  <si>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</si>
  <si>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</si>
  <si>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</si>
  <si>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</si>
  <si>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</si>
  <si>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</si>
  <si>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</si>
  <si>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</si>
  <si>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</si>
  <si>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</si>
  <si>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</si>
  <si>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</si>
  <si>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</si>
  <si>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</si>
  <si>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</si>
  <si>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</si>
  <si>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</si>
  <si>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</si>
  <si>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</si>
  <si>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</si>
  <si>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</si>
  <si>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</si>
  <si>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</si>
  <si>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</si>
  <si>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</si>
  <si>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</si>
  <si>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</si>
  <si>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</si>
  <si>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</si>
  <si>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</si>
  <si>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</si>
  <si>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</si>
  <si>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</si>
  <si>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</si>
  <si>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</si>
  <si>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</si>
  <si>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</si>
  <si>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</si>
  <si>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</si>
  <si>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</si>
  <si>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</si>
  <si>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</si>
  <si>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</si>
  <si>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</si>
  <si>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</si>
  <si>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</si>
  <si>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</si>
  <si>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</si>
  <si>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</si>
  <si>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</si>
  <si>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</si>
  <si>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</si>
  <si>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</si>
  <si>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</si>
  <si>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</si>
  <si>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</si>
  <si>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</si>
  <si>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</si>
  <si>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</si>
  <si>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</si>
  <si>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</si>
  <si>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</si>
  <si>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</si>
  <si>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</si>
  <si>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</si>
  <si>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</si>
  <si>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</si>
  <si>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</si>
  <si>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</si>
  <si>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</si>
  <si>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</si>
  <si>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</si>
  <si>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</si>
  <si>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</si>
  <si>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</si>
  <si>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</si>
  <si>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</si>
  <si>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</si>
  <si>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</si>
  <si>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</si>
  <si>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</si>
  <si>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</si>
  <si>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</si>
  <si>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</si>
  <si>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</si>
  <si>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</si>
  <si>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</si>
  <si>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</si>
  <si>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</si>
  <si>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</si>
  <si>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</si>
  <si>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</si>
  <si>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</si>
  <si>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</si>
  <si>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</si>
  <si>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</si>
  <si>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</si>
  <si>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</si>
  <si>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</si>
  <si>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</si>
  <si>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</si>
  <si>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</si>
  <si>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</si>
  <si>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</si>
  <si>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</si>
  <si>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</si>
  <si>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</si>
  <si>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</si>
  <si>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</si>
  <si>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</si>
  <si>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</si>
  <si>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</si>
  <si>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</si>
  <si>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</si>
  <si>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</si>
  <si>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</si>
  <si>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</si>
  <si>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</si>
  <si>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</si>
  <si>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</si>
  <si>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</si>
  <si>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</si>
  <si>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</si>
  <si>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</si>
  <si>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</si>
  <si>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</si>
  <si>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</si>
  <si>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</si>
  <si>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</si>
  <si>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</si>
  <si>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</si>
  <si>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</si>
  <si>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</si>
  <si>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</si>
  <si>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</si>
  <si>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</si>
  <si>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</si>
  <si>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</si>
  <si>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</si>
  <si>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</si>
  <si>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</si>
  <si>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</si>
  <si>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</si>
  <si>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</si>
  <si>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</si>
  <si>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</si>
  <si>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</si>
  <si>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</si>
  <si>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</si>
  <si>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</si>
  <si>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</si>
  <si>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</si>
  <si>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</si>
  <si>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</si>
  <si>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</si>
  <si>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</si>
  <si>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</si>
  <si>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</si>
  <si>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</si>
  <si>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</si>
  <si>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</si>
  <si>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</si>
  <si>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</si>
  <si>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</si>
  <si>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</si>
  <si>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</si>
  <si>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</si>
  <si>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</si>
  <si>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</si>
  <si>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</si>
  <si>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</si>
  <si>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</si>
  <si>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</si>
  <si>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</si>
  <si>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</si>
  <si>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</si>
  <si>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</si>
  <si>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</si>
  <si>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</si>
  <si>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</si>
  <si>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</si>
  <si>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</si>
  <si>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</si>
  <si>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</si>
  <si>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</si>
  <si>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</si>
  <si>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</si>
  <si>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</si>
  <si>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</si>
  <si>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</si>
  <si>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</si>
  <si>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</si>
  <si>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</si>
  <si>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</si>
  <si>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</si>
  <si>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</si>
  <si>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</si>
  <si>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</si>
  <si>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</si>
  <si>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</si>
  <si>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</si>
  <si>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</si>
  <si>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</si>
  <si>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</si>
  <si>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</si>
  <si>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</si>
  <si>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</si>
  <si>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</si>
  <si>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</si>
  <si>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</si>
  <si>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</si>
  <si>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</si>
  <si>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</si>
  <si>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</si>
  <si>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</si>
  <si>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</si>
  <si>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</si>
  <si>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</si>
  <si>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Department of Climate Change and Meteological Services</t>
  </si>
  <si>
    <t>A</t>
  </si>
  <si>
    <t>Blantyre City data.</t>
  </si>
  <si>
    <t>Mean annual rainfall for Malawi was estimated from a merged datatset (satellite and observation) for Malawi. This is for data from 1983 - current; since its gridded data mean rainfall of rectangular grid covering Malawi was used.</t>
  </si>
  <si>
    <t>B</t>
  </si>
  <si>
    <t>Evapotransipiration was estimated from FAO datasets (monthly values). Access to ths on locations basis (point speciific), therefore points were selected and averaged to represent Malawi.</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</si>
</sst>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color indexed="63"/>
      </left>
      <right style="thin"/>
      <top style="hair"/>
      <bottom style="hair"/>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13" fillId="32"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4" borderId="0" xfId="0" applyFont="1" applyFill="1" applyAlignment="1">
      <alignment horizontal="center"/>
    </xf>
    <xf numFmtId="0" fontId="2" fillId="0" borderId="0" xfId="0" applyFont="1" applyFill="1" applyBorder="1" applyAlignment="1" applyProtection="1">
      <alignment horizontal="left" vertical="top" wrapText="1"/>
      <protection locked="0"/>
    </xf>
    <xf numFmtId="0" fontId="0" fillId="0" borderId="0" xfId="0" applyFont="1" applyFill="1" applyAlignment="1">
      <alignmen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2" fillId="42" borderId="53"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2"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2" xfId="0" applyFont="1" applyFill="1" applyBorder="1" applyAlignment="1">
      <alignment horizontal="center" vertical="center" wrapText="1"/>
    </xf>
    <xf numFmtId="0" fontId="3" fillId="36" borderId="83" xfId="0" applyFont="1" applyFill="1" applyBorder="1" applyAlignment="1">
      <alignment horizontal="center" vertical="center"/>
    </xf>
    <xf numFmtId="0" fontId="3" fillId="36" borderId="84"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5"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2" fillId="0" borderId="88"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57" fillId="35" borderId="89"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wrapText="1"/>
      <protection/>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8" fillId="42" borderId="53" xfId="0"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42" borderId="83"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5" xfId="0" applyFont="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5" xfId="0" applyFont="1" applyFill="1" applyBorder="1" applyAlignment="1">
      <alignment horizontal="center" vertical="center" wrapText="1"/>
    </xf>
    <xf numFmtId="0" fontId="9" fillId="0" borderId="0" xfId="0" applyFont="1" applyFill="1" applyBorder="1" applyAlignment="1">
      <alignment wrapText="1"/>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37" fillId="0" borderId="0" xfId="0" applyFont="1" applyFill="1" applyAlignment="1" applyProtection="1">
      <alignment horizontal="center"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8" fillId="5" borderId="83"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4"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0" fillId="0" borderId="35" xfId="0" applyBorder="1" applyAlignment="1">
      <alignment horizontal="center" vertical="center" wrapText="1"/>
    </xf>
    <xf numFmtId="0" fontId="0" fillId="0" borderId="84"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37" fillId="0" borderId="0" xfId="0" applyFont="1" applyFill="1" applyAlignment="1" applyProtection="1">
      <alignment horizontal="center" vertical="top" wrapText="1"/>
      <protection/>
    </xf>
    <xf numFmtId="0" fontId="5" fillId="32" borderId="83"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90" xfId="0" applyFont="1" applyBorder="1" applyAlignment="1" applyProtection="1">
      <alignment wrapText="1"/>
      <protection locked="0"/>
    </xf>
    <xf numFmtId="0" fontId="0" fillId="0" borderId="34" xfId="0" applyBorder="1" applyAlignment="1" applyProtection="1">
      <alignment wrapText="1"/>
      <protection locked="0"/>
    </xf>
    <xf numFmtId="0" fontId="0" fillId="0" borderId="90"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91" xfId="0" applyBorder="1" applyAlignment="1" applyProtection="1">
      <alignment wrapText="1"/>
      <protection locked="0"/>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0</xdr:row>
      <xdr:rowOff>142875</xdr:rowOff>
    </xdr:from>
    <xdr:to>
      <xdr:col>13</xdr:col>
      <xdr:colOff>0</xdr:colOff>
      <xdr:row>6</xdr:row>
      <xdr:rowOff>0</xdr:rowOff>
    </xdr:to>
    <xdr:pic>
      <xdr:nvPicPr>
        <xdr:cNvPr id="1" name="Picture 2"/>
        <xdr:cNvPicPr preferRelativeResize="1">
          <a:picLocks noChangeAspect="1"/>
        </xdr:cNvPicPr>
      </xdr:nvPicPr>
      <xdr:blipFill>
        <a:blip r:embed="rId1"/>
        <a:stretch>
          <a:fillRect/>
        </a:stretch>
      </xdr:blipFill>
      <xdr:spPr>
        <a:xfrm>
          <a:off x="7239000" y="142875"/>
          <a:ext cx="1066800" cy="952500"/>
        </a:xfrm>
        <a:prstGeom prst="rect">
          <a:avLst/>
        </a:prstGeom>
        <a:noFill/>
        <a:ln w="9525" cmpd="sng">
          <a:noFill/>
        </a:ln>
      </xdr:spPr>
    </xdr:pic>
    <xdr:clientData/>
  </xdr:twoCellAnchor>
  <xdr:twoCellAnchor editAs="oneCell">
    <xdr:from>
      <xdr:col>1</xdr:col>
      <xdr:colOff>142875</xdr:colOff>
      <xdr:row>0</xdr:row>
      <xdr:rowOff>76200</xdr:rowOff>
    </xdr:from>
    <xdr:to>
      <xdr:col>1</xdr:col>
      <xdr:colOff>1200150</xdr:colOff>
      <xdr:row>5</xdr:row>
      <xdr:rowOff>19050</xdr:rowOff>
    </xdr:to>
    <xdr:pic>
      <xdr:nvPicPr>
        <xdr:cNvPr id="2" name="Picture 5"/>
        <xdr:cNvPicPr preferRelativeResize="1">
          <a:picLocks noChangeAspect="1"/>
        </xdr:cNvPicPr>
      </xdr:nvPicPr>
      <xdr:blipFill>
        <a:blip r:embed="rId2"/>
        <a:stretch>
          <a:fillRect/>
        </a:stretch>
      </xdr:blipFill>
      <xdr:spPr>
        <a:xfrm>
          <a:off x="257175" y="76200"/>
          <a:ext cx="10572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11</xdr:row>
      <xdr:rowOff>333375</xdr:rowOff>
    </xdr:from>
    <xdr:to>
      <xdr:col>5</xdr:col>
      <xdr:colOff>19050</xdr:colOff>
      <xdr:row>11</xdr:row>
      <xdr:rowOff>333375</xdr:rowOff>
    </xdr:to>
    <xdr:sp>
      <xdr:nvSpPr>
        <xdr:cNvPr id="1" name="Line 7"/>
        <xdr:cNvSpPr>
          <a:spLocks/>
        </xdr:cNvSpPr>
      </xdr:nvSpPr>
      <xdr:spPr>
        <a:xfrm flipV="1">
          <a:off x="1666875" y="2971800"/>
          <a:ext cx="1152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771525</xdr:colOff>
      <xdr:row>10</xdr:row>
      <xdr:rowOff>0</xdr:rowOff>
    </xdr:from>
    <xdr:to>
      <xdr:col>5</xdr:col>
      <xdr:colOff>771525</xdr:colOff>
      <xdr:row>11</xdr:row>
      <xdr:rowOff>0</xdr:rowOff>
    </xdr:to>
    <xdr:sp>
      <xdr:nvSpPr>
        <xdr:cNvPr id="2" name="Line 8"/>
        <xdr:cNvSpPr>
          <a:spLocks/>
        </xdr:cNvSpPr>
      </xdr:nvSpPr>
      <xdr:spPr>
        <a:xfrm>
          <a:off x="3571875" y="22574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447675</xdr:colOff>
      <xdr:row>20</xdr:row>
      <xdr:rowOff>476250</xdr:rowOff>
    </xdr:from>
    <xdr:to>
      <xdr:col>12</xdr:col>
      <xdr:colOff>447675</xdr:colOff>
      <xdr:row>26</xdr:row>
      <xdr:rowOff>561975</xdr:rowOff>
    </xdr:to>
    <xdr:sp>
      <xdr:nvSpPr>
        <xdr:cNvPr id="3" name="Line 9"/>
        <xdr:cNvSpPr>
          <a:spLocks/>
        </xdr:cNvSpPr>
      </xdr:nvSpPr>
      <xdr:spPr>
        <a:xfrm>
          <a:off x="10572750" y="6610350"/>
          <a:ext cx="0" cy="2171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600075</xdr:colOff>
      <xdr:row>15</xdr:row>
      <xdr:rowOff>266700</xdr:rowOff>
    </xdr:from>
    <xdr:to>
      <xdr:col>10</xdr:col>
      <xdr:colOff>857250</xdr:colOff>
      <xdr:row>15</xdr:row>
      <xdr:rowOff>266700</xdr:rowOff>
    </xdr:to>
    <xdr:sp>
      <xdr:nvSpPr>
        <xdr:cNvPr id="4" name="Line 10"/>
        <xdr:cNvSpPr>
          <a:spLocks/>
        </xdr:cNvSpPr>
      </xdr:nvSpPr>
      <xdr:spPr>
        <a:xfrm flipH="1" flipV="1">
          <a:off x="1019175" y="4095750"/>
          <a:ext cx="859155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11</xdr:row>
      <xdr:rowOff>304800</xdr:rowOff>
    </xdr:from>
    <xdr:to>
      <xdr:col>7</xdr:col>
      <xdr:colOff>457200</xdr:colOff>
      <xdr:row>11</xdr:row>
      <xdr:rowOff>304800</xdr:rowOff>
    </xdr:to>
    <xdr:sp>
      <xdr:nvSpPr>
        <xdr:cNvPr id="5" name="Line 14"/>
        <xdr:cNvSpPr>
          <a:spLocks/>
        </xdr:cNvSpPr>
      </xdr:nvSpPr>
      <xdr:spPr>
        <a:xfrm flipV="1">
          <a:off x="4010025" y="2943225"/>
          <a:ext cx="16287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18</xdr:row>
      <xdr:rowOff>533400</xdr:rowOff>
    </xdr:from>
    <xdr:to>
      <xdr:col>19</xdr:col>
      <xdr:colOff>28575</xdr:colOff>
      <xdr:row>30</xdr:row>
      <xdr:rowOff>333375</xdr:rowOff>
    </xdr:to>
    <xdr:sp>
      <xdr:nvSpPr>
        <xdr:cNvPr id="6" name="Line 35"/>
        <xdr:cNvSpPr>
          <a:spLocks/>
        </xdr:cNvSpPr>
      </xdr:nvSpPr>
      <xdr:spPr>
        <a:xfrm flipV="1">
          <a:off x="15459075" y="5981700"/>
          <a:ext cx="0" cy="38195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409575</xdr:colOff>
      <xdr:row>26</xdr:row>
      <xdr:rowOff>228600</xdr:rowOff>
    </xdr:from>
    <xdr:to>
      <xdr:col>9</xdr:col>
      <xdr:colOff>180975</xdr:colOff>
      <xdr:row>26</xdr:row>
      <xdr:rowOff>228600</xdr:rowOff>
    </xdr:to>
    <xdr:sp>
      <xdr:nvSpPr>
        <xdr:cNvPr id="7" name="Line 49"/>
        <xdr:cNvSpPr>
          <a:spLocks/>
        </xdr:cNvSpPr>
      </xdr:nvSpPr>
      <xdr:spPr>
        <a:xfrm flipV="1">
          <a:off x="7972425" y="84486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19050</xdr:rowOff>
    </xdr:from>
    <xdr:to>
      <xdr:col>23</xdr:col>
      <xdr:colOff>0</xdr:colOff>
      <xdr:row>28</xdr:row>
      <xdr:rowOff>19050</xdr:rowOff>
    </xdr:to>
    <xdr:sp>
      <xdr:nvSpPr>
        <xdr:cNvPr id="9" name="Line 57"/>
        <xdr:cNvSpPr>
          <a:spLocks/>
        </xdr:cNvSpPr>
      </xdr:nvSpPr>
      <xdr:spPr>
        <a:xfrm>
          <a:off x="17668875" y="89630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20</xdr:row>
      <xdr:rowOff>476250</xdr:rowOff>
    </xdr:from>
    <xdr:to>
      <xdr:col>12</xdr:col>
      <xdr:colOff>457200</xdr:colOff>
      <xdr:row>20</xdr:row>
      <xdr:rowOff>476250</xdr:rowOff>
    </xdr:to>
    <xdr:sp>
      <xdr:nvSpPr>
        <xdr:cNvPr id="10" name="Line 73"/>
        <xdr:cNvSpPr>
          <a:spLocks/>
        </xdr:cNvSpPr>
      </xdr:nvSpPr>
      <xdr:spPr>
        <a:xfrm>
          <a:off x="9963150" y="66103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723900</xdr:colOff>
      <xdr:row>7</xdr:row>
      <xdr:rowOff>19050</xdr:rowOff>
    </xdr:from>
    <xdr:to>
      <xdr:col>5</xdr:col>
      <xdr:colOff>723900</xdr:colOff>
      <xdr:row>9</xdr:row>
      <xdr:rowOff>38100</xdr:rowOff>
    </xdr:to>
    <xdr:sp>
      <xdr:nvSpPr>
        <xdr:cNvPr id="11" name="Line 202"/>
        <xdr:cNvSpPr>
          <a:spLocks/>
        </xdr:cNvSpPr>
      </xdr:nvSpPr>
      <xdr:spPr>
        <a:xfrm>
          <a:off x="3524250" y="169545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685800</xdr:colOff>
      <xdr:row>7</xdr:row>
      <xdr:rowOff>19050</xdr:rowOff>
    </xdr:from>
    <xdr:to>
      <xdr:col>6</xdr:col>
      <xdr:colOff>685800</xdr:colOff>
      <xdr:row>9</xdr:row>
      <xdr:rowOff>0</xdr:rowOff>
    </xdr:to>
    <xdr:sp>
      <xdr:nvSpPr>
        <xdr:cNvPr id="12" name="Line 203"/>
        <xdr:cNvSpPr>
          <a:spLocks/>
        </xdr:cNvSpPr>
      </xdr:nvSpPr>
      <xdr:spPr>
        <a:xfrm flipV="1">
          <a:off x="4676775" y="16954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428625</xdr:colOff>
      <xdr:row>22</xdr:row>
      <xdr:rowOff>285750</xdr:rowOff>
    </xdr:from>
    <xdr:to>
      <xdr:col>13</xdr:col>
      <xdr:colOff>457200</xdr:colOff>
      <xdr:row>22</xdr:row>
      <xdr:rowOff>285750</xdr:rowOff>
    </xdr:to>
    <xdr:sp>
      <xdr:nvSpPr>
        <xdr:cNvPr id="13" name="Line 204"/>
        <xdr:cNvSpPr>
          <a:spLocks/>
        </xdr:cNvSpPr>
      </xdr:nvSpPr>
      <xdr:spPr>
        <a:xfrm>
          <a:off x="10553700" y="711517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790575</xdr:colOff>
      <xdr:row>12</xdr:row>
      <xdr:rowOff>38100</xdr:rowOff>
    </xdr:from>
    <xdr:to>
      <xdr:col>5</xdr:col>
      <xdr:colOff>790575</xdr:colOff>
      <xdr:row>14</xdr:row>
      <xdr:rowOff>76200</xdr:rowOff>
    </xdr:to>
    <xdr:sp>
      <xdr:nvSpPr>
        <xdr:cNvPr id="14" name="Line 205"/>
        <xdr:cNvSpPr>
          <a:spLocks/>
        </xdr:cNvSpPr>
      </xdr:nvSpPr>
      <xdr:spPr>
        <a:xfrm>
          <a:off x="3590925" y="3267075"/>
          <a:ext cx="0" cy="4762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15</xdr:row>
      <xdr:rowOff>266700</xdr:rowOff>
    </xdr:from>
    <xdr:to>
      <xdr:col>3</xdr:col>
      <xdr:colOff>619125</xdr:colOff>
      <xdr:row>16</xdr:row>
      <xdr:rowOff>47625</xdr:rowOff>
    </xdr:to>
    <xdr:sp>
      <xdr:nvSpPr>
        <xdr:cNvPr id="15" name="Line 206"/>
        <xdr:cNvSpPr>
          <a:spLocks/>
        </xdr:cNvSpPr>
      </xdr:nvSpPr>
      <xdr:spPr>
        <a:xfrm>
          <a:off x="1038225" y="4095750"/>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495300</xdr:colOff>
      <xdr:row>15</xdr:row>
      <xdr:rowOff>285750</xdr:rowOff>
    </xdr:from>
    <xdr:to>
      <xdr:col>4</xdr:col>
      <xdr:colOff>495300</xdr:colOff>
      <xdr:row>16</xdr:row>
      <xdr:rowOff>57150</xdr:rowOff>
    </xdr:to>
    <xdr:sp>
      <xdr:nvSpPr>
        <xdr:cNvPr id="16" name="Line 207"/>
        <xdr:cNvSpPr>
          <a:spLocks/>
        </xdr:cNvSpPr>
      </xdr:nvSpPr>
      <xdr:spPr>
        <a:xfrm>
          <a:off x="2105025" y="4114800"/>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619125</xdr:colOff>
      <xdr:row>15</xdr:row>
      <xdr:rowOff>285750</xdr:rowOff>
    </xdr:from>
    <xdr:to>
      <xdr:col>5</xdr:col>
      <xdr:colOff>619125</xdr:colOff>
      <xdr:row>16</xdr:row>
      <xdr:rowOff>114300</xdr:rowOff>
    </xdr:to>
    <xdr:sp>
      <xdr:nvSpPr>
        <xdr:cNvPr id="17" name="Line 208"/>
        <xdr:cNvSpPr>
          <a:spLocks/>
        </xdr:cNvSpPr>
      </xdr:nvSpPr>
      <xdr:spPr>
        <a:xfrm>
          <a:off x="3419475" y="411480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809625</xdr:colOff>
      <xdr:row>15</xdr:row>
      <xdr:rowOff>285750</xdr:rowOff>
    </xdr:from>
    <xdr:to>
      <xdr:col>6</xdr:col>
      <xdr:colOff>809625</xdr:colOff>
      <xdr:row>16</xdr:row>
      <xdr:rowOff>57150</xdr:rowOff>
    </xdr:to>
    <xdr:sp>
      <xdr:nvSpPr>
        <xdr:cNvPr id="18" name="Line 209"/>
        <xdr:cNvSpPr>
          <a:spLocks/>
        </xdr:cNvSpPr>
      </xdr:nvSpPr>
      <xdr:spPr>
        <a:xfrm flipH="1">
          <a:off x="4800600" y="4114800"/>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771525</xdr:colOff>
      <xdr:row>15</xdr:row>
      <xdr:rowOff>285750</xdr:rowOff>
    </xdr:from>
    <xdr:to>
      <xdr:col>7</xdr:col>
      <xdr:colOff>771525</xdr:colOff>
      <xdr:row>16</xdr:row>
      <xdr:rowOff>57150</xdr:rowOff>
    </xdr:to>
    <xdr:sp>
      <xdr:nvSpPr>
        <xdr:cNvPr id="19" name="Line 210"/>
        <xdr:cNvSpPr>
          <a:spLocks/>
        </xdr:cNvSpPr>
      </xdr:nvSpPr>
      <xdr:spPr>
        <a:xfrm>
          <a:off x="5953125" y="4114800"/>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838200</xdr:colOff>
      <xdr:row>15</xdr:row>
      <xdr:rowOff>276225</xdr:rowOff>
    </xdr:from>
    <xdr:to>
      <xdr:col>8</xdr:col>
      <xdr:colOff>838200</xdr:colOff>
      <xdr:row>16</xdr:row>
      <xdr:rowOff>57150</xdr:rowOff>
    </xdr:to>
    <xdr:sp>
      <xdr:nvSpPr>
        <xdr:cNvPr id="20" name="Line 211"/>
        <xdr:cNvSpPr>
          <a:spLocks/>
        </xdr:cNvSpPr>
      </xdr:nvSpPr>
      <xdr:spPr>
        <a:xfrm>
          <a:off x="7210425" y="410527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657225</xdr:colOff>
      <xdr:row>16</xdr:row>
      <xdr:rowOff>1095375</xdr:rowOff>
    </xdr:from>
    <xdr:to>
      <xdr:col>3</xdr:col>
      <xdr:colOff>657225</xdr:colOff>
      <xdr:row>18</xdr:row>
      <xdr:rowOff>0</xdr:rowOff>
    </xdr:to>
    <xdr:sp>
      <xdr:nvSpPr>
        <xdr:cNvPr id="21" name="Line 212"/>
        <xdr:cNvSpPr>
          <a:spLocks/>
        </xdr:cNvSpPr>
      </xdr:nvSpPr>
      <xdr:spPr>
        <a:xfrm>
          <a:off x="1076325" y="52768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533400</xdr:colOff>
      <xdr:row>16</xdr:row>
      <xdr:rowOff>1095375</xdr:rowOff>
    </xdr:from>
    <xdr:to>
      <xdr:col>4</xdr:col>
      <xdr:colOff>533400</xdr:colOff>
      <xdr:row>18</xdr:row>
      <xdr:rowOff>0</xdr:rowOff>
    </xdr:to>
    <xdr:sp>
      <xdr:nvSpPr>
        <xdr:cNvPr id="22" name="Line 213"/>
        <xdr:cNvSpPr>
          <a:spLocks/>
        </xdr:cNvSpPr>
      </xdr:nvSpPr>
      <xdr:spPr>
        <a:xfrm>
          <a:off x="2143125" y="5276850"/>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628650</xdr:colOff>
      <xdr:row>16</xdr:row>
      <xdr:rowOff>1095375</xdr:rowOff>
    </xdr:from>
    <xdr:to>
      <xdr:col>5</xdr:col>
      <xdr:colOff>628650</xdr:colOff>
      <xdr:row>18</xdr:row>
      <xdr:rowOff>9525</xdr:rowOff>
    </xdr:to>
    <xdr:sp>
      <xdr:nvSpPr>
        <xdr:cNvPr id="23" name="Line 214"/>
        <xdr:cNvSpPr>
          <a:spLocks/>
        </xdr:cNvSpPr>
      </xdr:nvSpPr>
      <xdr:spPr>
        <a:xfrm>
          <a:off x="3429000"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819150</xdr:colOff>
      <xdr:row>16</xdr:row>
      <xdr:rowOff>1095375</xdr:rowOff>
    </xdr:from>
    <xdr:to>
      <xdr:col>6</xdr:col>
      <xdr:colOff>819150</xdr:colOff>
      <xdr:row>18</xdr:row>
      <xdr:rowOff>9525</xdr:rowOff>
    </xdr:to>
    <xdr:sp>
      <xdr:nvSpPr>
        <xdr:cNvPr id="24" name="Line 215"/>
        <xdr:cNvSpPr>
          <a:spLocks/>
        </xdr:cNvSpPr>
      </xdr:nvSpPr>
      <xdr:spPr>
        <a:xfrm>
          <a:off x="4810125"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809625</xdr:colOff>
      <xdr:row>16</xdr:row>
      <xdr:rowOff>1095375</xdr:rowOff>
    </xdr:from>
    <xdr:to>
      <xdr:col>7</xdr:col>
      <xdr:colOff>809625</xdr:colOff>
      <xdr:row>18</xdr:row>
      <xdr:rowOff>9525</xdr:rowOff>
    </xdr:to>
    <xdr:sp>
      <xdr:nvSpPr>
        <xdr:cNvPr id="25" name="Line 216"/>
        <xdr:cNvSpPr>
          <a:spLocks/>
        </xdr:cNvSpPr>
      </xdr:nvSpPr>
      <xdr:spPr>
        <a:xfrm flipH="1">
          <a:off x="5991225"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895350</xdr:colOff>
      <xdr:row>16</xdr:row>
      <xdr:rowOff>1095375</xdr:rowOff>
    </xdr:from>
    <xdr:to>
      <xdr:col>8</xdr:col>
      <xdr:colOff>895350</xdr:colOff>
      <xdr:row>18</xdr:row>
      <xdr:rowOff>9525</xdr:rowOff>
    </xdr:to>
    <xdr:sp>
      <xdr:nvSpPr>
        <xdr:cNvPr id="26" name="Line 217"/>
        <xdr:cNvSpPr>
          <a:spLocks/>
        </xdr:cNvSpPr>
      </xdr:nvSpPr>
      <xdr:spPr>
        <a:xfrm>
          <a:off x="7267575"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457200</xdr:rowOff>
    </xdr:from>
    <xdr:to>
      <xdr:col>12</xdr:col>
      <xdr:colOff>457200</xdr:colOff>
      <xdr:row>22</xdr:row>
      <xdr:rowOff>457200</xdr:rowOff>
    </xdr:to>
    <xdr:sp>
      <xdr:nvSpPr>
        <xdr:cNvPr id="27" name="Line 218"/>
        <xdr:cNvSpPr>
          <a:spLocks/>
        </xdr:cNvSpPr>
      </xdr:nvSpPr>
      <xdr:spPr>
        <a:xfrm>
          <a:off x="9944100" y="728662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352425</xdr:rowOff>
    </xdr:from>
    <xdr:to>
      <xdr:col>12</xdr:col>
      <xdr:colOff>457200</xdr:colOff>
      <xdr:row>24</xdr:row>
      <xdr:rowOff>352425</xdr:rowOff>
    </xdr:to>
    <xdr:sp>
      <xdr:nvSpPr>
        <xdr:cNvPr id="28" name="Line 219"/>
        <xdr:cNvSpPr>
          <a:spLocks/>
        </xdr:cNvSpPr>
      </xdr:nvSpPr>
      <xdr:spPr>
        <a:xfrm flipV="1">
          <a:off x="9944100" y="7877175"/>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581025</xdr:colOff>
      <xdr:row>22</xdr:row>
      <xdr:rowOff>352425</xdr:rowOff>
    </xdr:from>
    <xdr:to>
      <xdr:col>15</xdr:col>
      <xdr:colOff>581025</xdr:colOff>
      <xdr:row>25</xdr:row>
      <xdr:rowOff>104775</xdr:rowOff>
    </xdr:to>
    <xdr:sp>
      <xdr:nvSpPr>
        <xdr:cNvPr id="29" name="Line 223"/>
        <xdr:cNvSpPr>
          <a:spLocks/>
        </xdr:cNvSpPr>
      </xdr:nvSpPr>
      <xdr:spPr>
        <a:xfrm>
          <a:off x="12954000" y="7181850"/>
          <a:ext cx="0" cy="971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28575</xdr:colOff>
      <xdr:row>22</xdr:row>
      <xdr:rowOff>333375</xdr:rowOff>
    </xdr:from>
    <xdr:to>
      <xdr:col>16</xdr:col>
      <xdr:colOff>0</xdr:colOff>
      <xdr:row>22</xdr:row>
      <xdr:rowOff>333375</xdr:rowOff>
    </xdr:to>
    <xdr:sp>
      <xdr:nvSpPr>
        <xdr:cNvPr id="30" name="Line 224"/>
        <xdr:cNvSpPr>
          <a:spLocks/>
        </xdr:cNvSpPr>
      </xdr:nvSpPr>
      <xdr:spPr>
        <a:xfrm flipV="1">
          <a:off x="12401550" y="7162800"/>
          <a:ext cx="762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285750</xdr:rowOff>
    </xdr:from>
    <xdr:to>
      <xdr:col>19</xdr:col>
      <xdr:colOff>57150</xdr:colOff>
      <xdr:row>22</xdr:row>
      <xdr:rowOff>285750</xdr:rowOff>
    </xdr:to>
    <xdr:sp>
      <xdr:nvSpPr>
        <xdr:cNvPr id="31" name="Line 230"/>
        <xdr:cNvSpPr>
          <a:spLocks/>
        </xdr:cNvSpPr>
      </xdr:nvSpPr>
      <xdr:spPr>
        <a:xfrm flipV="1">
          <a:off x="14268450" y="7115175"/>
          <a:ext cx="1219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24</xdr:row>
      <xdr:rowOff>400050</xdr:rowOff>
    </xdr:from>
    <xdr:to>
      <xdr:col>20</xdr:col>
      <xdr:colOff>0</xdr:colOff>
      <xdr:row>24</xdr:row>
      <xdr:rowOff>400050</xdr:rowOff>
    </xdr:to>
    <xdr:sp>
      <xdr:nvSpPr>
        <xdr:cNvPr id="32" name="Line 231"/>
        <xdr:cNvSpPr>
          <a:spLocks/>
        </xdr:cNvSpPr>
      </xdr:nvSpPr>
      <xdr:spPr>
        <a:xfrm>
          <a:off x="15449550" y="79248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26</xdr:row>
      <xdr:rowOff>419100</xdr:rowOff>
    </xdr:from>
    <xdr:to>
      <xdr:col>19</xdr:col>
      <xdr:colOff>333375</xdr:colOff>
      <xdr:row>26</xdr:row>
      <xdr:rowOff>419100</xdr:rowOff>
    </xdr:to>
    <xdr:sp>
      <xdr:nvSpPr>
        <xdr:cNvPr id="33" name="Line 232"/>
        <xdr:cNvSpPr>
          <a:spLocks/>
        </xdr:cNvSpPr>
      </xdr:nvSpPr>
      <xdr:spPr>
        <a:xfrm>
          <a:off x="15459075" y="86391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419100</xdr:rowOff>
    </xdr:from>
    <xdr:to>
      <xdr:col>20</xdr:col>
      <xdr:colOff>0</xdr:colOff>
      <xdr:row>28</xdr:row>
      <xdr:rowOff>419100</xdr:rowOff>
    </xdr:to>
    <xdr:sp>
      <xdr:nvSpPr>
        <xdr:cNvPr id="34" name="Line 233"/>
        <xdr:cNvSpPr>
          <a:spLocks/>
        </xdr:cNvSpPr>
      </xdr:nvSpPr>
      <xdr:spPr>
        <a:xfrm>
          <a:off x="15459075" y="936307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228600</xdr:colOff>
      <xdr:row>14</xdr:row>
      <xdr:rowOff>161925</xdr:rowOff>
    </xdr:from>
    <xdr:to>
      <xdr:col>7</xdr:col>
      <xdr:colOff>228600</xdr:colOff>
      <xdr:row>15</xdr:row>
      <xdr:rowOff>266700</xdr:rowOff>
    </xdr:to>
    <xdr:sp>
      <xdr:nvSpPr>
        <xdr:cNvPr id="35" name="Line 247"/>
        <xdr:cNvSpPr>
          <a:spLocks/>
        </xdr:cNvSpPr>
      </xdr:nvSpPr>
      <xdr:spPr>
        <a:xfrm flipH="1" flipV="1">
          <a:off x="5410200" y="3829050"/>
          <a:ext cx="0" cy="2667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22</xdr:row>
      <xdr:rowOff>457200</xdr:rowOff>
    </xdr:from>
    <xdr:to>
      <xdr:col>20</xdr:col>
      <xdr:colOff>19050</xdr:colOff>
      <xdr:row>22</xdr:row>
      <xdr:rowOff>457200</xdr:rowOff>
    </xdr:to>
    <xdr:sp>
      <xdr:nvSpPr>
        <xdr:cNvPr id="36" name="Line 248"/>
        <xdr:cNvSpPr>
          <a:spLocks/>
        </xdr:cNvSpPr>
      </xdr:nvSpPr>
      <xdr:spPr>
        <a:xfrm flipV="1">
          <a:off x="15459075" y="7286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428625</xdr:colOff>
      <xdr:row>10</xdr:row>
      <xdr:rowOff>219075</xdr:rowOff>
    </xdr:from>
    <xdr:to>
      <xdr:col>8</xdr:col>
      <xdr:colOff>28575</xdr:colOff>
      <xdr:row>10</xdr:row>
      <xdr:rowOff>228600</xdr:rowOff>
    </xdr:to>
    <xdr:sp>
      <xdr:nvSpPr>
        <xdr:cNvPr id="37" name="Line 14"/>
        <xdr:cNvSpPr>
          <a:spLocks/>
        </xdr:cNvSpPr>
      </xdr:nvSpPr>
      <xdr:spPr>
        <a:xfrm flipV="1">
          <a:off x="5610225" y="2476500"/>
          <a:ext cx="7905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428625</xdr:colOff>
      <xdr:row>10</xdr:row>
      <xdr:rowOff>219075</xdr:rowOff>
    </xdr:from>
    <xdr:to>
      <xdr:col>7</xdr:col>
      <xdr:colOff>428625</xdr:colOff>
      <xdr:row>12</xdr:row>
      <xdr:rowOff>266700</xdr:rowOff>
    </xdr:to>
    <xdr:sp>
      <xdr:nvSpPr>
        <xdr:cNvPr id="38" name="Line 14"/>
        <xdr:cNvSpPr>
          <a:spLocks/>
        </xdr:cNvSpPr>
      </xdr:nvSpPr>
      <xdr:spPr>
        <a:xfrm flipV="1">
          <a:off x="5610225" y="2476500"/>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12</xdr:row>
      <xdr:rowOff>247650</xdr:rowOff>
    </xdr:from>
    <xdr:to>
      <xdr:col>7</xdr:col>
      <xdr:colOff>1190625</xdr:colOff>
      <xdr:row>12</xdr:row>
      <xdr:rowOff>266700</xdr:rowOff>
    </xdr:to>
    <xdr:sp>
      <xdr:nvSpPr>
        <xdr:cNvPr id="39" name="Line 14"/>
        <xdr:cNvSpPr>
          <a:spLocks/>
        </xdr:cNvSpPr>
      </xdr:nvSpPr>
      <xdr:spPr>
        <a:xfrm flipV="1">
          <a:off x="5638800" y="3476625"/>
          <a:ext cx="7334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647700</xdr:colOff>
      <xdr:row>72</xdr:row>
      <xdr:rowOff>161925</xdr:rowOff>
    </xdr:from>
    <xdr:to>
      <xdr:col>43</xdr:col>
      <xdr:colOff>28575</xdr:colOff>
      <xdr:row>72</xdr:row>
      <xdr:rowOff>161925</xdr:rowOff>
    </xdr:to>
    <xdr:sp>
      <xdr:nvSpPr>
        <xdr:cNvPr id="40" name="Line 231"/>
        <xdr:cNvSpPr>
          <a:spLocks/>
        </xdr:cNvSpPr>
      </xdr:nvSpPr>
      <xdr:spPr>
        <a:xfrm flipV="1">
          <a:off x="27993975" y="16297275"/>
          <a:ext cx="161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20</xdr:row>
      <xdr:rowOff>495300</xdr:rowOff>
    </xdr:from>
    <xdr:to>
      <xdr:col>20</xdr:col>
      <xdr:colOff>19050</xdr:colOff>
      <xdr:row>20</xdr:row>
      <xdr:rowOff>495300</xdr:rowOff>
    </xdr:to>
    <xdr:sp>
      <xdr:nvSpPr>
        <xdr:cNvPr id="41" name="Line 248"/>
        <xdr:cNvSpPr>
          <a:spLocks/>
        </xdr:cNvSpPr>
      </xdr:nvSpPr>
      <xdr:spPr>
        <a:xfrm flipV="1">
          <a:off x="15459075" y="6629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838200</xdr:colOff>
      <xdr:row>15</xdr:row>
      <xdr:rowOff>276225</xdr:rowOff>
    </xdr:from>
    <xdr:to>
      <xdr:col>9</xdr:col>
      <xdr:colOff>838200</xdr:colOff>
      <xdr:row>16</xdr:row>
      <xdr:rowOff>57150</xdr:rowOff>
    </xdr:to>
    <xdr:sp>
      <xdr:nvSpPr>
        <xdr:cNvPr id="42" name="Line 211"/>
        <xdr:cNvSpPr>
          <a:spLocks/>
        </xdr:cNvSpPr>
      </xdr:nvSpPr>
      <xdr:spPr>
        <a:xfrm>
          <a:off x="8401050" y="410527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819150</xdr:colOff>
      <xdr:row>15</xdr:row>
      <xdr:rowOff>276225</xdr:rowOff>
    </xdr:from>
    <xdr:to>
      <xdr:col>10</xdr:col>
      <xdr:colOff>819150</xdr:colOff>
      <xdr:row>16</xdr:row>
      <xdr:rowOff>57150</xdr:rowOff>
    </xdr:to>
    <xdr:sp>
      <xdr:nvSpPr>
        <xdr:cNvPr id="43" name="Line 211"/>
        <xdr:cNvSpPr>
          <a:spLocks/>
        </xdr:cNvSpPr>
      </xdr:nvSpPr>
      <xdr:spPr>
        <a:xfrm>
          <a:off x="9572625" y="4105275"/>
          <a:ext cx="0" cy="133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857250</xdr:colOff>
      <xdr:row>16</xdr:row>
      <xdr:rowOff>1095375</xdr:rowOff>
    </xdr:from>
    <xdr:to>
      <xdr:col>9</xdr:col>
      <xdr:colOff>857250</xdr:colOff>
      <xdr:row>18</xdr:row>
      <xdr:rowOff>9525</xdr:rowOff>
    </xdr:to>
    <xdr:sp>
      <xdr:nvSpPr>
        <xdr:cNvPr id="44" name="Line 217"/>
        <xdr:cNvSpPr>
          <a:spLocks/>
        </xdr:cNvSpPr>
      </xdr:nvSpPr>
      <xdr:spPr>
        <a:xfrm>
          <a:off x="8420100"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876300</xdr:colOff>
      <xdr:row>16</xdr:row>
      <xdr:rowOff>1095375</xdr:rowOff>
    </xdr:from>
    <xdr:to>
      <xdr:col>10</xdr:col>
      <xdr:colOff>876300</xdr:colOff>
      <xdr:row>18</xdr:row>
      <xdr:rowOff>9525</xdr:rowOff>
    </xdr:to>
    <xdr:sp>
      <xdr:nvSpPr>
        <xdr:cNvPr id="45" name="Line 217"/>
        <xdr:cNvSpPr>
          <a:spLocks/>
        </xdr:cNvSpPr>
      </xdr:nvSpPr>
      <xdr:spPr>
        <a:xfrm>
          <a:off x="9629775" y="5276850"/>
          <a:ext cx="0" cy="1809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18</xdr:row>
      <xdr:rowOff>495300</xdr:rowOff>
    </xdr:from>
    <xdr:to>
      <xdr:col>20</xdr:col>
      <xdr:colOff>19050</xdr:colOff>
      <xdr:row>18</xdr:row>
      <xdr:rowOff>495300</xdr:rowOff>
    </xdr:to>
    <xdr:sp>
      <xdr:nvSpPr>
        <xdr:cNvPr id="46" name="Line 248"/>
        <xdr:cNvSpPr>
          <a:spLocks/>
        </xdr:cNvSpPr>
      </xdr:nvSpPr>
      <xdr:spPr>
        <a:xfrm flipV="1">
          <a:off x="15459075" y="59436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333375</xdr:rowOff>
    </xdr:from>
    <xdr:to>
      <xdr:col>20</xdr:col>
      <xdr:colOff>0</xdr:colOff>
      <xdr:row>30</xdr:row>
      <xdr:rowOff>333375</xdr:rowOff>
    </xdr:to>
    <xdr:sp>
      <xdr:nvSpPr>
        <xdr:cNvPr id="47" name="Line 233"/>
        <xdr:cNvSpPr>
          <a:spLocks/>
        </xdr:cNvSpPr>
      </xdr:nvSpPr>
      <xdr:spPr>
        <a:xfrm>
          <a:off x="15459075" y="98012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1190625</xdr:colOff>
      <xdr:row>19</xdr:row>
      <xdr:rowOff>0</xdr:rowOff>
    </xdr:from>
    <xdr:to>
      <xdr:col>5</xdr:col>
      <xdr:colOff>1190625</xdr:colOff>
      <xdr:row>20</xdr:row>
      <xdr:rowOff>247650</xdr:rowOff>
    </xdr:to>
    <xdr:sp>
      <xdr:nvSpPr>
        <xdr:cNvPr id="48" name="Line 9"/>
        <xdr:cNvSpPr>
          <a:spLocks/>
        </xdr:cNvSpPr>
      </xdr:nvSpPr>
      <xdr:spPr>
        <a:xfrm>
          <a:off x="3990975" y="6019800"/>
          <a:ext cx="0" cy="361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1190625</xdr:colOff>
      <xdr:row>20</xdr:row>
      <xdr:rowOff>219075</xdr:rowOff>
    </xdr:from>
    <xdr:to>
      <xdr:col>9</xdr:col>
      <xdr:colOff>28575</xdr:colOff>
      <xdr:row>20</xdr:row>
      <xdr:rowOff>228600</xdr:rowOff>
    </xdr:to>
    <xdr:sp>
      <xdr:nvSpPr>
        <xdr:cNvPr id="49" name="Line 73"/>
        <xdr:cNvSpPr>
          <a:spLocks/>
        </xdr:cNvSpPr>
      </xdr:nvSpPr>
      <xdr:spPr>
        <a:xfrm flipV="1">
          <a:off x="3990975" y="6353175"/>
          <a:ext cx="36004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19050</xdr:colOff>
      <xdr:row>26</xdr:row>
      <xdr:rowOff>561975</xdr:rowOff>
    </xdr:from>
    <xdr:to>
      <xdr:col>12</xdr:col>
      <xdr:colOff>457200</xdr:colOff>
      <xdr:row>26</xdr:row>
      <xdr:rowOff>561975</xdr:rowOff>
    </xdr:to>
    <xdr:sp>
      <xdr:nvSpPr>
        <xdr:cNvPr id="50" name="Line 219"/>
        <xdr:cNvSpPr>
          <a:spLocks/>
        </xdr:cNvSpPr>
      </xdr:nvSpPr>
      <xdr:spPr>
        <a:xfrm flipV="1">
          <a:off x="9963150" y="878205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1190625</xdr:colOff>
      <xdr:row>20</xdr:row>
      <xdr:rowOff>219075</xdr:rowOff>
    </xdr:from>
    <xdr:to>
      <xdr:col>6</xdr:col>
      <xdr:colOff>1190625</xdr:colOff>
      <xdr:row>21</xdr:row>
      <xdr:rowOff>123825</xdr:rowOff>
    </xdr:to>
    <xdr:sp>
      <xdr:nvSpPr>
        <xdr:cNvPr id="51" name="Line 223"/>
        <xdr:cNvSpPr>
          <a:spLocks/>
        </xdr:cNvSpPr>
      </xdr:nvSpPr>
      <xdr:spPr>
        <a:xfrm>
          <a:off x="5181600" y="6353175"/>
          <a:ext cx="0" cy="4762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28</xdr:row>
      <xdr:rowOff>19050</xdr:rowOff>
    </xdr:from>
    <xdr:to>
      <xdr:col>13</xdr:col>
      <xdr:colOff>152400</xdr:colOff>
      <xdr:row>29</xdr:row>
      <xdr:rowOff>38100</xdr:rowOff>
    </xdr:to>
    <xdr:sp>
      <xdr:nvSpPr>
        <xdr:cNvPr id="1" name="Line 21"/>
        <xdr:cNvSpPr>
          <a:spLocks/>
        </xdr:cNvSpPr>
      </xdr:nvSpPr>
      <xdr:spPr>
        <a:xfrm flipH="1">
          <a:off x="5553075" y="753427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25</xdr:row>
      <xdr:rowOff>457200</xdr:rowOff>
    </xdr:from>
    <xdr:to>
      <xdr:col>7</xdr:col>
      <xdr:colOff>152400</xdr:colOff>
      <xdr:row>26</xdr:row>
      <xdr:rowOff>285750</xdr:rowOff>
    </xdr:to>
    <xdr:sp>
      <xdr:nvSpPr>
        <xdr:cNvPr id="2" name="Line 22"/>
        <xdr:cNvSpPr>
          <a:spLocks/>
        </xdr:cNvSpPr>
      </xdr:nvSpPr>
      <xdr:spPr>
        <a:xfrm>
          <a:off x="4029075" y="7048500"/>
          <a:ext cx="0" cy="2857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361950</xdr:colOff>
      <xdr:row>26</xdr:row>
      <xdr:rowOff>0</xdr:rowOff>
    </xdr:from>
    <xdr:to>
      <xdr:col>13</xdr:col>
      <xdr:colOff>361950</xdr:colOff>
      <xdr:row>27</xdr:row>
      <xdr:rowOff>0</xdr:rowOff>
    </xdr:to>
    <xdr:sp>
      <xdr:nvSpPr>
        <xdr:cNvPr id="3" name="Line 23"/>
        <xdr:cNvSpPr>
          <a:spLocks/>
        </xdr:cNvSpPr>
      </xdr:nvSpPr>
      <xdr:spPr>
        <a:xfrm flipH="1" flipV="1">
          <a:off x="57626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285750</xdr:rowOff>
    </xdr:from>
    <xdr:to>
      <xdr:col>20</xdr:col>
      <xdr:colOff>104775</xdr:colOff>
      <xdr:row>30</xdr:row>
      <xdr:rowOff>390525</xdr:rowOff>
    </xdr:to>
    <xdr:grpSp>
      <xdr:nvGrpSpPr>
        <xdr:cNvPr id="4" name="Group 1"/>
        <xdr:cNvGrpSpPr>
          <a:grpSpLocks/>
        </xdr:cNvGrpSpPr>
      </xdr:nvGrpSpPr>
      <xdr:grpSpPr>
        <a:xfrm>
          <a:off x="6305550" y="7800975"/>
          <a:ext cx="1114425" cy="10953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19050</xdr:colOff>
      <xdr:row>29</xdr:row>
      <xdr:rowOff>419100</xdr:rowOff>
    </xdr:from>
    <xdr:to>
      <xdr:col>12</xdr:col>
      <xdr:colOff>19050</xdr:colOff>
      <xdr:row>29</xdr:row>
      <xdr:rowOff>419100</xdr:rowOff>
    </xdr:to>
    <xdr:sp>
      <xdr:nvSpPr>
        <xdr:cNvPr id="9" name="Line 19"/>
        <xdr:cNvSpPr>
          <a:spLocks/>
        </xdr:cNvSpPr>
      </xdr:nvSpPr>
      <xdr:spPr>
        <a:xfrm flipV="1">
          <a:off x="4400550" y="8362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52</xdr:row>
      <xdr:rowOff>228600</xdr:rowOff>
    </xdr:from>
    <xdr:to>
      <xdr:col>4</xdr:col>
      <xdr:colOff>400050</xdr:colOff>
      <xdr:row>52</xdr:row>
      <xdr:rowOff>228600</xdr:rowOff>
    </xdr:to>
    <xdr:sp>
      <xdr:nvSpPr>
        <xdr:cNvPr id="1" name="Line 21"/>
        <xdr:cNvSpPr>
          <a:spLocks/>
        </xdr:cNvSpPr>
      </xdr:nvSpPr>
      <xdr:spPr>
        <a:xfrm flipV="1">
          <a:off x="3067050" y="1080135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54</xdr:row>
      <xdr:rowOff>209550</xdr:rowOff>
    </xdr:from>
    <xdr:to>
      <xdr:col>4</xdr:col>
      <xdr:colOff>361950</xdr:colOff>
      <xdr:row>54</xdr:row>
      <xdr:rowOff>209550</xdr:rowOff>
    </xdr:to>
    <xdr:sp>
      <xdr:nvSpPr>
        <xdr:cNvPr id="2" name="Line 21"/>
        <xdr:cNvSpPr>
          <a:spLocks/>
        </xdr:cNvSpPr>
      </xdr:nvSpPr>
      <xdr:spPr>
        <a:xfrm flipV="1">
          <a:off x="3057525" y="1120140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228600</xdr:rowOff>
    </xdr:from>
    <xdr:to>
      <xdr:col>4</xdr:col>
      <xdr:colOff>342900</xdr:colOff>
      <xdr:row>56</xdr:row>
      <xdr:rowOff>228600</xdr:rowOff>
    </xdr:to>
    <xdr:sp>
      <xdr:nvSpPr>
        <xdr:cNvPr id="3" name="Line 21"/>
        <xdr:cNvSpPr>
          <a:spLocks/>
        </xdr:cNvSpPr>
      </xdr:nvSpPr>
      <xdr:spPr>
        <a:xfrm flipV="1">
          <a:off x="3038475" y="116871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62</xdr:row>
      <xdr:rowOff>276225</xdr:rowOff>
    </xdr:from>
    <xdr:to>
      <xdr:col>4</xdr:col>
      <xdr:colOff>390525</xdr:colOff>
      <xdr:row>62</xdr:row>
      <xdr:rowOff>276225</xdr:rowOff>
    </xdr:to>
    <xdr:sp>
      <xdr:nvSpPr>
        <xdr:cNvPr id="4" name="Line 21"/>
        <xdr:cNvSpPr>
          <a:spLocks/>
        </xdr:cNvSpPr>
      </xdr:nvSpPr>
      <xdr:spPr>
        <a:xfrm flipV="1">
          <a:off x="3057525" y="12992100"/>
          <a:ext cx="3714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64</xdr:row>
      <xdr:rowOff>276225</xdr:rowOff>
    </xdr:from>
    <xdr:to>
      <xdr:col>4</xdr:col>
      <xdr:colOff>361950</xdr:colOff>
      <xdr:row>64</xdr:row>
      <xdr:rowOff>276225</xdr:rowOff>
    </xdr:to>
    <xdr:sp>
      <xdr:nvSpPr>
        <xdr:cNvPr id="5" name="Line 21"/>
        <xdr:cNvSpPr>
          <a:spLocks/>
        </xdr:cNvSpPr>
      </xdr:nvSpPr>
      <xdr:spPr>
        <a:xfrm flipV="1">
          <a:off x="3057525" y="134207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276225</xdr:rowOff>
    </xdr:from>
    <xdr:to>
      <xdr:col>4</xdr:col>
      <xdr:colOff>390525</xdr:colOff>
      <xdr:row>66</xdr:row>
      <xdr:rowOff>276225</xdr:rowOff>
    </xdr:to>
    <xdr:sp>
      <xdr:nvSpPr>
        <xdr:cNvPr id="6" name="Line 21"/>
        <xdr:cNvSpPr>
          <a:spLocks/>
        </xdr:cNvSpPr>
      </xdr:nvSpPr>
      <xdr:spPr>
        <a:xfrm>
          <a:off x="3038475" y="13849350"/>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50</xdr:row>
      <xdr:rowOff>190500</xdr:rowOff>
    </xdr:from>
    <xdr:to>
      <xdr:col>9</xdr:col>
      <xdr:colOff>190500</xdr:colOff>
      <xdr:row>50</xdr:row>
      <xdr:rowOff>190500</xdr:rowOff>
    </xdr:to>
    <xdr:sp>
      <xdr:nvSpPr>
        <xdr:cNvPr id="7" name="Line 21"/>
        <xdr:cNvSpPr>
          <a:spLocks/>
        </xdr:cNvSpPr>
      </xdr:nvSpPr>
      <xdr:spPr>
        <a:xfrm>
          <a:off x="4572000" y="1025842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200025</xdr:colOff>
      <xdr:row>50</xdr:row>
      <xdr:rowOff>209550</xdr:rowOff>
    </xdr:from>
    <xdr:to>
      <xdr:col>9</xdr:col>
      <xdr:colOff>200025</xdr:colOff>
      <xdr:row>63</xdr:row>
      <xdr:rowOff>152400</xdr:rowOff>
    </xdr:to>
    <xdr:sp>
      <xdr:nvSpPr>
        <xdr:cNvPr id="8" name="Line 18"/>
        <xdr:cNvSpPr>
          <a:spLocks/>
        </xdr:cNvSpPr>
      </xdr:nvSpPr>
      <xdr:spPr>
        <a:xfrm>
          <a:off x="4857750" y="10277475"/>
          <a:ext cx="0" cy="2867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28575</xdr:colOff>
      <xdr:row>53</xdr:row>
      <xdr:rowOff>142875</xdr:rowOff>
    </xdr:from>
    <xdr:to>
      <xdr:col>9</xdr:col>
      <xdr:colOff>200025</xdr:colOff>
      <xdr:row>53</xdr:row>
      <xdr:rowOff>142875</xdr:rowOff>
    </xdr:to>
    <xdr:sp>
      <xdr:nvSpPr>
        <xdr:cNvPr id="9" name="Line 21"/>
        <xdr:cNvSpPr>
          <a:spLocks/>
        </xdr:cNvSpPr>
      </xdr:nvSpPr>
      <xdr:spPr>
        <a:xfrm flipV="1">
          <a:off x="4581525" y="109918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xdr:colOff>
      <xdr:row>56</xdr:row>
      <xdr:rowOff>238125</xdr:rowOff>
    </xdr:from>
    <xdr:to>
      <xdr:col>9</xdr:col>
      <xdr:colOff>238125</xdr:colOff>
      <xdr:row>56</xdr:row>
      <xdr:rowOff>238125</xdr:rowOff>
    </xdr:to>
    <xdr:sp>
      <xdr:nvSpPr>
        <xdr:cNvPr id="10" name="Line 21"/>
        <xdr:cNvSpPr>
          <a:spLocks/>
        </xdr:cNvSpPr>
      </xdr:nvSpPr>
      <xdr:spPr>
        <a:xfrm flipV="1">
          <a:off x="4610100" y="1169670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57150</xdr:colOff>
      <xdr:row>63</xdr:row>
      <xdr:rowOff>152400</xdr:rowOff>
    </xdr:from>
    <xdr:to>
      <xdr:col>9</xdr:col>
      <xdr:colOff>200025</xdr:colOff>
      <xdr:row>63</xdr:row>
      <xdr:rowOff>152400</xdr:rowOff>
    </xdr:to>
    <xdr:sp>
      <xdr:nvSpPr>
        <xdr:cNvPr id="11" name="Line 21"/>
        <xdr:cNvSpPr>
          <a:spLocks/>
        </xdr:cNvSpPr>
      </xdr:nvSpPr>
      <xdr:spPr>
        <a:xfrm>
          <a:off x="4610100" y="131445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228600</xdr:colOff>
      <xdr:row>56</xdr:row>
      <xdr:rowOff>28575</xdr:rowOff>
    </xdr:from>
    <xdr:to>
      <xdr:col>11</xdr:col>
      <xdr:colOff>38100</xdr:colOff>
      <xdr:row>56</xdr:row>
      <xdr:rowOff>28575</xdr:rowOff>
    </xdr:to>
    <xdr:sp>
      <xdr:nvSpPr>
        <xdr:cNvPr id="12" name="Line 21"/>
        <xdr:cNvSpPr>
          <a:spLocks/>
        </xdr:cNvSpPr>
      </xdr:nvSpPr>
      <xdr:spPr>
        <a:xfrm>
          <a:off x="4886325" y="11487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51</xdr:row>
      <xdr:rowOff>38100</xdr:rowOff>
    </xdr:from>
    <xdr:to>
      <xdr:col>4</xdr:col>
      <xdr:colOff>409575</xdr:colOff>
      <xdr:row>66</xdr:row>
      <xdr:rowOff>276225</xdr:rowOff>
    </xdr:to>
    <xdr:sp>
      <xdr:nvSpPr>
        <xdr:cNvPr id="13" name="Line 18"/>
        <xdr:cNvSpPr>
          <a:spLocks/>
        </xdr:cNvSpPr>
      </xdr:nvSpPr>
      <xdr:spPr>
        <a:xfrm flipH="1">
          <a:off x="3448050" y="10420350"/>
          <a:ext cx="0" cy="34290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55</xdr:row>
      <xdr:rowOff>190500</xdr:rowOff>
    </xdr:from>
    <xdr:to>
      <xdr:col>23</xdr:col>
      <xdr:colOff>314325</xdr:colOff>
      <xdr:row>55</xdr:row>
      <xdr:rowOff>190500</xdr:rowOff>
    </xdr:to>
    <xdr:sp>
      <xdr:nvSpPr>
        <xdr:cNvPr id="14" name="Line 21"/>
        <xdr:cNvSpPr>
          <a:spLocks/>
        </xdr:cNvSpPr>
      </xdr:nvSpPr>
      <xdr:spPr>
        <a:xfrm flipV="1">
          <a:off x="7200900" y="11458575"/>
          <a:ext cx="1304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54</xdr:row>
      <xdr:rowOff>19050</xdr:rowOff>
    </xdr:from>
    <xdr:to>
      <xdr:col>23</xdr:col>
      <xdr:colOff>276225</xdr:colOff>
      <xdr:row>66</xdr:row>
      <xdr:rowOff>123825</xdr:rowOff>
    </xdr:to>
    <xdr:sp>
      <xdr:nvSpPr>
        <xdr:cNvPr id="15" name="Line 18"/>
        <xdr:cNvSpPr>
          <a:spLocks/>
        </xdr:cNvSpPr>
      </xdr:nvSpPr>
      <xdr:spPr>
        <a:xfrm>
          <a:off x="8467725" y="11010900"/>
          <a:ext cx="0" cy="2686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58</xdr:row>
      <xdr:rowOff>152400</xdr:rowOff>
    </xdr:from>
    <xdr:to>
      <xdr:col>26</xdr:col>
      <xdr:colOff>28575</xdr:colOff>
      <xdr:row>58</xdr:row>
      <xdr:rowOff>152400</xdr:rowOff>
    </xdr:to>
    <xdr:sp>
      <xdr:nvSpPr>
        <xdr:cNvPr id="16" name="Line 21"/>
        <xdr:cNvSpPr>
          <a:spLocks/>
        </xdr:cNvSpPr>
      </xdr:nvSpPr>
      <xdr:spPr>
        <a:xfrm>
          <a:off x="8467725" y="12020550"/>
          <a:ext cx="657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60</xdr:row>
      <xdr:rowOff>152400</xdr:rowOff>
    </xdr:from>
    <xdr:to>
      <xdr:col>26</xdr:col>
      <xdr:colOff>28575</xdr:colOff>
      <xdr:row>60</xdr:row>
      <xdr:rowOff>152400</xdr:rowOff>
    </xdr:to>
    <xdr:sp>
      <xdr:nvSpPr>
        <xdr:cNvPr id="17" name="Line 21"/>
        <xdr:cNvSpPr>
          <a:spLocks/>
        </xdr:cNvSpPr>
      </xdr:nvSpPr>
      <xdr:spPr>
        <a:xfrm flipV="1">
          <a:off x="8505825" y="124587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66</xdr:row>
      <xdr:rowOff>114300</xdr:rowOff>
    </xdr:from>
    <xdr:to>
      <xdr:col>26</xdr:col>
      <xdr:colOff>28575</xdr:colOff>
      <xdr:row>66</xdr:row>
      <xdr:rowOff>114300</xdr:rowOff>
    </xdr:to>
    <xdr:sp>
      <xdr:nvSpPr>
        <xdr:cNvPr id="18" name="Line 21"/>
        <xdr:cNvSpPr>
          <a:spLocks/>
        </xdr:cNvSpPr>
      </xdr:nvSpPr>
      <xdr:spPr>
        <a:xfrm flipV="1">
          <a:off x="8505825" y="136874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62</xdr:row>
      <xdr:rowOff>171450</xdr:rowOff>
    </xdr:from>
    <xdr:to>
      <xdr:col>26</xdr:col>
      <xdr:colOff>0</xdr:colOff>
      <xdr:row>62</xdr:row>
      <xdr:rowOff>171450</xdr:rowOff>
    </xdr:to>
    <xdr:sp>
      <xdr:nvSpPr>
        <xdr:cNvPr id="19" name="Line 21"/>
        <xdr:cNvSpPr>
          <a:spLocks/>
        </xdr:cNvSpPr>
      </xdr:nvSpPr>
      <xdr:spPr>
        <a:xfrm flipV="1">
          <a:off x="8467725" y="128873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64</xdr:row>
      <xdr:rowOff>123825</xdr:rowOff>
    </xdr:from>
    <xdr:to>
      <xdr:col>26</xdr:col>
      <xdr:colOff>19050</xdr:colOff>
      <xdr:row>64</xdr:row>
      <xdr:rowOff>123825</xdr:rowOff>
    </xdr:to>
    <xdr:sp>
      <xdr:nvSpPr>
        <xdr:cNvPr id="20" name="Line 21"/>
        <xdr:cNvSpPr>
          <a:spLocks/>
        </xdr:cNvSpPr>
      </xdr:nvSpPr>
      <xdr:spPr>
        <a:xfrm flipV="1">
          <a:off x="8467725" y="13268325"/>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190500</xdr:rowOff>
    </xdr:from>
    <xdr:to>
      <xdr:col>15</xdr:col>
      <xdr:colOff>400050</xdr:colOff>
      <xdr:row>63</xdr:row>
      <xdr:rowOff>152400</xdr:rowOff>
    </xdr:to>
    <xdr:grpSp>
      <xdr:nvGrpSpPr>
        <xdr:cNvPr id="21" name="Group 2"/>
        <xdr:cNvGrpSpPr>
          <a:grpSpLocks/>
        </xdr:cNvGrpSpPr>
      </xdr:nvGrpSpPr>
      <xdr:grpSpPr>
        <a:xfrm>
          <a:off x="6067425" y="11458575"/>
          <a:ext cx="50482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276225</xdr:rowOff>
    </xdr:from>
    <xdr:to>
      <xdr:col>4</xdr:col>
      <xdr:colOff>342900</xdr:colOff>
      <xdr:row>58</xdr:row>
      <xdr:rowOff>276225</xdr:rowOff>
    </xdr:to>
    <xdr:sp>
      <xdr:nvSpPr>
        <xdr:cNvPr id="24" name="Line 21"/>
        <xdr:cNvSpPr>
          <a:spLocks/>
        </xdr:cNvSpPr>
      </xdr:nvSpPr>
      <xdr:spPr>
        <a:xfrm flipV="1">
          <a:off x="3038475" y="121443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60</xdr:row>
      <xdr:rowOff>276225</xdr:rowOff>
    </xdr:from>
    <xdr:to>
      <xdr:col>4</xdr:col>
      <xdr:colOff>361950</xdr:colOff>
      <xdr:row>60</xdr:row>
      <xdr:rowOff>276225</xdr:rowOff>
    </xdr:to>
    <xdr:sp>
      <xdr:nvSpPr>
        <xdr:cNvPr id="25" name="Line 21"/>
        <xdr:cNvSpPr>
          <a:spLocks/>
        </xdr:cNvSpPr>
      </xdr:nvSpPr>
      <xdr:spPr>
        <a:xfrm flipV="1">
          <a:off x="3057525" y="125825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314325</xdr:colOff>
      <xdr:row>54</xdr:row>
      <xdr:rowOff>57150</xdr:rowOff>
    </xdr:from>
    <xdr:to>
      <xdr:col>26</xdr:col>
      <xdr:colOff>28575</xdr:colOff>
      <xdr:row>54</xdr:row>
      <xdr:rowOff>57150</xdr:rowOff>
    </xdr:to>
    <xdr:sp>
      <xdr:nvSpPr>
        <xdr:cNvPr id="26" name="Line 21"/>
        <xdr:cNvSpPr>
          <a:spLocks/>
        </xdr:cNvSpPr>
      </xdr:nvSpPr>
      <xdr:spPr>
        <a:xfrm>
          <a:off x="8505825" y="11049000"/>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276225</xdr:colOff>
      <xdr:row>56</xdr:row>
      <xdr:rowOff>104775</xdr:rowOff>
    </xdr:from>
    <xdr:to>
      <xdr:col>26</xdr:col>
      <xdr:colOff>19050</xdr:colOff>
      <xdr:row>56</xdr:row>
      <xdr:rowOff>104775</xdr:rowOff>
    </xdr:to>
    <xdr:sp>
      <xdr:nvSpPr>
        <xdr:cNvPr id="27" name="Line 21"/>
        <xdr:cNvSpPr>
          <a:spLocks/>
        </xdr:cNvSpPr>
      </xdr:nvSpPr>
      <xdr:spPr>
        <a:xfrm>
          <a:off x="8467725" y="11563350"/>
          <a:ext cx="647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49</xdr:row>
      <xdr:rowOff>9525</xdr:rowOff>
    </xdr:from>
    <xdr:to>
      <xdr:col>3</xdr:col>
      <xdr:colOff>1524000</xdr:colOff>
      <xdr:row>50</xdr:row>
      <xdr:rowOff>285750</xdr:rowOff>
    </xdr:to>
    <xdr:sp>
      <xdr:nvSpPr>
        <xdr:cNvPr id="28" name="Line 18"/>
        <xdr:cNvSpPr>
          <a:spLocks/>
        </xdr:cNvSpPr>
      </xdr:nvSpPr>
      <xdr:spPr>
        <a:xfrm>
          <a:off x="2085975" y="9677400"/>
          <a:ext cx="0" cy="6762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50</xdr:row>
      <xdr:rowOff>247650</xdr:rowOff>
    </xdr:from>
    <xdr:to>
      <xdr:col>4</xdr:col>
      <xdr:colOff>47625</xdr:colOff>
      <xdr:row>50</xdr:row>
      <xdr:rowOff>276225</xdr:rowOff>
    </xdr:to>
    <xdr:sp>
      <xdr:nvSpPr>
        <xdr:cNvPr id="29" name="Line 21"/>
        <xdr:cNvSpPr>
          <a:spLocks/>
        </xdr:cNvSpPr>
      </xdr:nvSpPr>
      <xdr:spPr>
        <a:xfrm flipV="1">
          <a:off x="2085975" y="10315575"/>
          <a:ext cx="1000125" cy="28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1524000</xdr:colOff>
      <xdr:row>49</xdr:row>
      <xdr:rowOff>304800</xdr:rowOff>
    </xdr:from>
    <xdr:to>
      <xdr:col>11</xdr:col>
      <xdr:colOff>19050</xdr:colOff>
      <xdr:row>49</xdr:row>
      <xdr:rowOff>323850</xdr:rowOff>
    </xdr:to>
    <xdr:sp>
      <xdr:nvSpPr>
        <xdr:cNvPr id="30" name="Line 223"/>
        <xdr:cNvSpPr>
          <a:spLocks/>
        </xdr:cNvSpPr>
      </xdr:nvSpPr>
      <xdr:spPr>
        <a:xfrm flipV="1">
          <a:off x="2085975" y="9972675"/>
          <a:ext cx="30956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33</xdr:row>
      <xdr:rowOff>361950</xdr:rowOff>
    </xdr:from>
    <xdr:to>
      <xdr:col>10</xdr:col>
      <xdr:colOff>0</xdr:colOff>
      <xdr:row>33</xdr:row>
      <xdr:rowOff>361950</xdr:rowOff>
    </xdr:to>
    <xdr:sp>
      <xdr:nvSpPr>
        <xdr:cNvPr id="1" name="Line 15"/>
        <xdr:cNvSpPr>
          <a:spLocks/>
        </xdr:cNvSpPr>
      </xdr:nvSpPr>
      <xdr:spPr>
        <a:xfrm>
          <a:off x="3228975" y="7734300"/>
          <a:ext cx="2028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342900</xdr:colOff>
      <xdr:row>33</xdr:row>
      <xdr:rowOff>361950</xdr:rowOff>
    </xdr:from>
    <xdr:to>
      <xdr:col>5</xdr:col>
      <xdr:colOff>342900</xdr:colOff>
      <xdr:row>41</xdr:row>
      <xdr:rowOff>304800</xdr:rowOff>
    </xdr:to>
    <xdr:sp>
      <xdr:nvSpPr>
        <xdr:cNvPr id="2" name="Line 16"/>
        <xdr:cNvSpPr>
          <a:spLocks/>
        </xdr:cNvSpPr>
      </xdr:nvSpPr>
      <xdr:spPr>
        <a:xfrm>
          <a:off x="4133850" y="7734300"/>
          <a:ext cx="0" cy="14859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35</xdr:row>
      <xdr:rowOff>323850</xdr:rowOff>
    </xdr:from>
    <xdr:to>
      <xdr:col>17</xdr:col>
      <xdr:colOff>400050</xdr:colOff>
      <xdr:row>35</xdr:row>
      <xdr:rowOff>323850</xdr:rowOff>
    </xdr:to>
    <xdr:sp>
      <xdr:nvSpPr>
        <xdr:cNvPr id="3" name="Line 17"/>
        <xdr:cNvSpPr>
          <a:spLocks/>
        </xdr:cNvSpPr>
      </xdr:nvSpPr>
      <xdr:spPr>
        <a:xfrm flipV="1">
          <a:off x="6267450" y="8086725"/>
          <a:ext cx="1009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31</xdr:row>
      <xdr:rowOff>95250</xdr:rowOff>
    </xdr:from>
    <xdr:to>
      <xdr:col>17</xdr:col>
      <xdr:colOff>400050</xdr:colOff>
      <xdr:row>43</xdr:row>
      <xdr:rowOff>342900</xdr:rowOff>
    </xdr:to>
    <xdr:sp>
      <xdr:nvSpPr>
        <xdr:cNvPr id="4" name="Line 18"/>
        <xdr:cNvSpPr>
          <a:spLocks/>
        </xdr:cNvSpPr>
      </xdr:nvSpPr>
      <xdr:spPr>
        <a:xfrm flipH="1">
          <a:off x="7277100" y="7162800"/>
          <a:ext cx="0" cy="2428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31</xdr:row>
      <xdr:rowOff>95250</xdr:rowOff>
    </xdr:from>
    <xdr:to>
      <xdr:col>20</xdr:col>
      <xdr:colOff>19050</xdr:colOff>
      <xdr:row>31</xdr:row>
      <xdr:rowOff>95250</xdr:rowOff>
    </xdr:to>
    <xdr:sp>
      <xdr:nvSpPr>
        <xdr:cNvPr id="5" name="Line 19"/>
        <xdr:cNvSpPr>
          <a:spLocks/>
        </xdr:cNvSpPr>
      </xdr:nvSpPr>
      <xdr:spPr>
        <a:xfrm flipV="1">
          <a:off x="7277100" y="71628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33</xdr:row>
      <xdr:rowOff>333375</xdr:rowOff>
    </xdr:from>
    <xdr:to>
      <xdr:col>20</xdr:col>
      <xdr:colOff>19050</xdr:colOff>
      <xdr:row>33</xdr:row>
      <xdr:rowOff>333375</xdr:rowOff>
    </xdr:to>
    <xdr:sp>
      <xdr:nvSpPr>
        <xdr:cNvPr id="6" name="Line 20"/>
        <xdr:cNvSpPr>
          <a:spLocks/>
        </xdr:cNvSpPr>
      </xdr:nvSpPr>
      <xdr:spPr>
        <a:xfrm>
          <a:off x="7277100" y="770572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37</xdr:row>
      <xdr:rowOff>247650</xdr:rowOff>
    </xdr:from>
    <xdr:to>
      <xdr:col>20</xdr:col>
      <xdr:colOff>19050</xdr:colOff>
      <xdr:row>37</xdr:row>
      <xdr:rowOff>247650</xdr:rowOff>
    </xdr:to>
    <xdr:sp>
      <xdr:nvSpPr>
        <xdr:cNvPr id="7" name="Line 21"/>
        <xdr:cNvSpPr>
          <a:spLocks/>
        </xdr:cNvSpPr>
      </xdr:nvSpPr>
      <xdr:spPr>
        <a:xfrm>
          <a:off x="7277100" y="839152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41</xdr:row>
      <xdr:rowOff>228600</xdr:rowOff>
    </xdr:from>
    <xdr:to>
      <xdr:col>20</xdr:col>
      <xdr:colOff>19050</xdr:colOff>
      <xdr:row>41</xdr:row>
      <xdr:rowOff>228600</xdr:rowOff>
    </xdr:to>
    <xdr:sp>
      <xdr:nvSpPr>
        <xdr:cNvPr id="8" name="Line 22"/>
        <xdr:cNvSpPr>
          <a:spLocks/>
        </xdr:cNvSpPr>
      </xdr:nvSpPr>
      <xdr:spPr>
        <a:xfrm flipV="1">
          <a:off x="7277100" y="914400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43</xdr:row>
      <xdr:rowOff>304800</xdr:rowOff>
    </xdr:from>
    <xdr:to>
      <xdr:col>19</xdr:col>
      <xdr:colOff>400050</xdr:colOff>
      <xdr:row>43</xdr:row>
      <xdr:rowOff>304800</xdr:rowOff>
    </xdr:to>
    <xdr:sp>
      <xdr:nvSpPr>
        <xdr:cNvPr id="9" name="Line 23"/>
        <xdr:cNvSpPr>
          <a:spLocks/>
        </xdr:cNvSpPr>
      </xdr:nvSpPr>
      <xdr:spPr>
        <a:xfrm flipV="1">
          <a:off x="7277100" y="955357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35</xdr:row>
      <xdr:rowOff>266700</xdr:rowOff>
    </xdr:from>
    <xdr:to>
      <xdr:col>20</xdr:col>
      <xdr:colOff>28575</xdr:colOff>
      <xdr:row>35</xdr:row>
      <xdr:rowOff>266700</xdr:rowOff>
    </xdr:to>
    <xdr:sp>
      <xdr:nvSpPr>
        <xdr:cNvPr id="10" name="Line 20"/>
        <xdr:cNvSpPr>
          <a:spLocks/>
        </xdr:cNvSpPr>
      </xdr:nvSpPr>
      <xdr:spPr>
        <a:xfrm>
          <a:off x="7277100" y="8029575"/>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39</xdr:row>
      <xdr:rowOff>266700</xdr:rowOff>
    </xdr:from>
    <xdr:to>
      <xdr:col>19</xdr:col>
      <xdr:colOff>400050</xdr:colOff>
      <xdr:row>39</xdr:row>
      <xdr:rowOff>266700</xdr:rowOff>
    </xdr:to>
    <xdr:sp>
      <xdr:nvSpPr>
        <xdr:cNvPr id="11" name="Line 20"/>
        <xdr:cNvSpPr>
          <a:spLocks/>
        </xdr:cNvSpPr>
      </xdr:nvSpPr>
      <xdr:spPr>
        <a:xfrm>
          <a:off x="7277100" y="88011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39</xdr:row>
      <xdr:rowOff>19050</xdr:rowOff>
    </xdr:from>
    <xdr:to>
      <xdr:col>9</xdr:col>
      <xdr:colOff>28575</xdr:colOff>
      <xdr:row>39</xdr:row>
      <xdr:rowOff>19050</xdr:rowOff>
    </xdr:to>
    <xdr:sp>
      <xdr:nvSpPr>
        <xdr:cNvPr id="1" name="Line 18"/>
        <xdr:cNvSpPr>
          <a:spLocks/>
        </xdr:cNvSpPr>
      </xdr:nvSpPr>
      <xdr:spPr>
        <a:xfrm flipH="1" flipV="1">
          <a:off x="3371850" y="10029825"/>
          <a:ext cx="1552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190500</xdr:rowOff>
    </xdr:from>
    <xdr:to>
      <xdr:col>4</xdr:col>
      <xdr:colOff>342900</xdr:colOff>
      <xdr:row>33</xdr:row>
      <xdr:rowOff>190500</xdr:rowOff>
    </xdr:to>
    <xdr:sp>
      <xdr:nvSpPr>
        <xdr:cNvPr id="2" name="Line 18"/>
        <xdr:cNvSpPr>
          <a:spLocks/>
        </xdr:cNvSpPr>
      </xdr:nvSpPr>
      <xdr:spPr>
        <a:xfrm flipH="1" flipV="1">
          <a:off x="3048000" y="87820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190500</xdr:rowOff>
    </xdr:from>
    <xdr:to>
      <xdr:col>4</xdr:col>
      <xdr:colOff>342900</xdr:colOff>
      <xdr:row>37</xdr:row>
      <xdr:rowOff>190500</xdr:rowOff>
    </xdr:to>
    <xdr:sp>
      <xdr:nvSpPr>
        <xdr:cNvPr id="3" name="Line 18"/>
        <xdr:cNvSpPr>
          <a:spLocks/>
        </xdr:cNvSpPr>
      </xdr:nvSpPr>
      <xdr:spPr>
        <a:xfrm flipH="1" flipV="1">
          <a:off x="3048000" y="97250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190500</xdr:rowOff>
    </xdr:from>
    <xdr:to>
      <xdr:col>4</xdr:col>
      <xdr:colOff>342900</xdr:colOff>
      <xdr:row>39</xdr:row>
      <xdr:rowOff>190500</xdr:rowOff>
    </xdr:to>
    <xdr:sp>
      <xdr:nvSpPr>
        <xdr:cNvPr id="4" name="Line 18"/>
        <xdr:cNvSpPr>
          <a:spLocks/>
        </xdr:cNvSpPr>
      </xdr:nvSpPr>
      <xdr:spPr>
        <a:xfrm flipH="1" flipV="1">
          <a:off x="3048000" y="102012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190500</xdr:rowOff>
    </xdr:from>
    <xdr:to>
      <xdr:col>4</xdr:col>
      <xdr:colOff>342900</xdr:colOff>
      <xdr:row>43</xdr:row>
      <xdr:rowOff>190500</xdr:rowOff>
    </xdr:to>
    <xdr:sp>
      <xdr:nvSpPr>
        <xdr:cNvPr id="5" name="Line 18"/>
        <xdr:cNvSpPr>
          <a:spLocks/>
        </xdr:cNvSpPr>
      </xdr:nvSpPr>
      <xdr:spPr>
        <a:xfrm flipH="1" flipV="1">
          <a:off x="3048000" y="1121092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45</xdr:row>
      <xdr:rowOff>171450</xdr:rowOff>
    </xdr:from>
    <xdr:to>
      <xdr:col>4</xdr:col>
      <xdr:colOff>361950</xdr:colOff>
      <xdr:row>45</xdr:row>
      <xdr:rowOff>171450</xdr:rowOff>
    </xdr:to>
    <xdr:sp>
      <xdr:nvSpPr>
        <xdr:cNvPr id="6" name="Line 18"/>
        <xdr:cNvSpPr>
          <a:spLocks/>
        </xdr:cNvSpPr>
      </xdr:nvSpPr>
      <xdr:spPr>
        <a:xfrm flipH="1" flipV="1">
          <a:off x="3067050" y="1165860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342900</xdr:colOff>
      <xdr:row>33</xdr:row>
      <xdr:rowOff>171450</xdr:rowOff>
    </xdr:from>
    <xdr:to>
      <xdr:col>4</xdr:col>
      <xdr:colOff>342900</xdr:colOff>
      <xdr:row>45</xdr:row>
      <xdr:rowOff>190500</xdr:rowOff>
    </xdr:to>
    <xdr:sp>
      <xdr:nvSpPr>
        <xdr:cNvPr id="7" name="Line 18"/>
        <xdr:cNvSpPr>
          <a:spLocks/>
        </xdr:cNvSpPr>
      </xdr:nvSpPr>
      <xdr:spPr>
        <a:xfrm flipH="1">
          <a:off x="3390900" y="8763000"/>
          <a:ext cx="0" cy="29146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19050</xdr:rowOff>
    </xdr:from>
    <xdr:to>
      <xdr:col>19</xdr:col>
      <xdr:colOff>57150</xdr:colOff>
      <xdr:row>39</xdr:row>
      <xdr:rowOff>19050</xdr:rowOff>
    </xdr:to>
    <xdr:sp>
      <xdr:nvSpPr>
        <xdr:cNvPr id="8" name="Line 18"/>
        <xdr:cNvSpPr>
          <a:spLocks/>
        </xdr:cNvSpPr>
      </xdr:nvSpPr>
      <xdr:spPr>
        <a:xfrm flipH="1" flipV="1">
          <a:off x="6305550" y="10029825"/>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295275</xdr:rowOff>
    </xdr:from>
    <xdr:to>
      <xdr:col>19</xdr:col>
      <xdr:colOff>57150</xdr:colOff>
      <xdr:row>45</xdr:row>
      <xdr:rowOff>228600</xdr:rowOff>
    </xdr:to>
    <xdr:sp>
      <xdr:nvSpPr>
        <xdr:cNvPr id="9" name="Line 18"/>
        <xdr:cNvSpPr>
          <a:spLocks/>
        </xdr:cNvSpPr>
      </xdr:nvSpPr>
      <xdr:spPr>
        <a:xfrm>
          <a:off x="7477125" y="8886825"/>
          <a:ext cx="0" cy="2828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33</xdr:row>
      <xdr:rowOff>295275</xdr:rowOff>
    </xdr:from>
    <xdr:to>
      <xdr:col>19</xdr:col>
      <xdr:colOff>400050</xdr:colOff>
      <xdr:row>33</xdr:row>
      <xdr:rowOff>295275</xdr:rowOff>
    </xdr:to>
    <xdr:sp>
      <xdr:nvSpPr>
        <xdr:cNvPr id="10" name="Line 18"/>
        <xdr:cNvSpPr>
          <a:spLocks/>
        </xdr:cNvSpPr>
      </xdr:nvSpPr>
      <xdr:spPr>
        <a:xfrm flipH="1" flipV="1">
          <a:off x="7505700" y="888682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37</xdr:row>
      <xdr:rowOff>247650</xdr:rowOff>
    </xdr:from>
    <xdr:to>
      <xdr:col>19</xdr:col>
      <xdr:colOff>400050</xdr:colOff>
      <xdr:row>37</xdr:row>
      <xdr:rowOff>247650</xdr:rowOff>
    </xdr:to>
    <xdr:sp>
      <xdr:nvSpPr>
        <xdr:cNvPr id="11" name="Line 18"/>
        <xdr:cNvSpPr>
          <a:spLocks/>
        </xdr:cNvSpPr>
      </xdr:nvSpPr>
      <xdr:spPr>
        <a:xfrm flipH="1" flipV="1">
          <a:off x="7505700" y="978217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85725</xdr:colOff>
      <xdr:row>41</xdr:row>
      <xdr:rowOff>295275</xdr:rowOff>
    </xdr:from>
    <xdr:to>
      <xdr:col>19</xdr:col>
      <xdr:colOff>400050</xdr:colOff>
      <xdr:row>41</xdr:row>
      <xdr:rowOff>295275</xdr:rowOff>
    </xdr:to>
    <xdr:sp>
      <xdr:nvSpPr>
        <xdr:cNvPr id="12" name="Line 18"/>
        <xdr:cNvSpPr>
          <a:spLocks/>
        </xdr:cNvSpPr>
      </xdr:nvSpPr>
      <xdr:spPr>
        <a:xfrm flipH="1" flipV="1">
          <a:off x="7505700" y="10810875"/>
          <a:ext cx="3143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66675</xdr:colOff>
      <xdr:row>45</xdr:row>
      <xdr:rowOff>209550</xdr:rowOff>
    </xdr:from>
    <xdr:to>
      <xdr:col>19</xdr:col>
      <xdr:colOff>400050</xdr:colOff>
      <xdr:row>45</xdr:row>
      <xdr:rowOff>209550</xdr:rowOff>
    </xdr:to>
    <xdr:sp>
      <xdr:nvSpPr>
        <xdr:cNvPr id="13" name="Line 18"/>
        <xdr:cNvSpPr>
          <a:spLocks/>
        </xdr:cNvSpPr>
      </xdr:nvSpPr>
      <xdr:spPr>
        <a:xfrm flipH="1">
          <a:off x="7486650" y="1169670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2676525</xdr:colOff>
      <xdr:row>35</xdr:row>
      <xdr:rowOff>285750</xdr:rowOff>
    </xdr:from>
    <xdr:to>
      <xdr:col>4</xdr:col>
      <xdr:colOff>342900</xdr:colOff>
      <xdr:row>35</xdr:row>
      <xdr:rowOff>285750</xdr:rowOff>
    </xdr:to>
    <xdr:sp>
      <xdr:nvSpPr>
        <xdr:cNvPr id="14" name="Line 18"/>
        <xdr:cNvSpPr>
          <a:spLocks/>
        </xdr:cNvSpPr>
      </xdr:nvSpPr>
      <xdr:spPr>
        <a:xfrm flipH="1" flipV="1">
          <a:off x="3048000" y="93630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295275</xdr:rowOff>
    </xdr:from>
    <xdr:to>
      <xdr:col>4</xdr:col>
      <xdr:colOff>361950</xdr:colOff>
      <xdr:row>41</xdr:row>
      <xdr:rowOff>295275</xdr:rowOff>
    </xdr:to>
    <xdr:sp>
      <xdr:nvSpPr>
        <xdr:cNvPr id="15" name="Line 18"/>
        <xdr:cNvSpPr>
          <a:spLocks/>
        </xdr:cNvSpPr>
      </xdr:nvSpPr>
      <xdr:spPr>
        <a:xfrm flipH="1" flipV="1">
          <a:off x="3067050" y="108108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3" t="s">
        <v>604</v>
      </c>
    </row>
    <row r="7" spans="2:13" ht="24.75" customHeight="1">
      <c r="B7" s="715" t="s">
        <v>591</v>
      </c>
      <c r="C7" s="715"/>
      <c r="D7" s="715"/>
      <c r="E7" s="715"/>
      <c r="F7" s="715"/>
      <c r="G7" s="715"/>
      <c r="H7" s="715"/>
      <c r="I7" s="715"/>
      <c r="J7" s="715"/>
      <c r="K7" s="715"/>
      <c r="L7" s="715"/>
      <c r="M7" s="715"/>
    </row>
    <row r="8" spans="2:13" ht="24.75" customHeight="1">
      <c r="B8" s="716" t="s">
        <v>601</v>
      </c>
      <c r="C8" s="716"/>
      <c r="D8" s="716"/>
      <c r="E8" s="716"/>
      <c r="F8" s="716"/>
      <c r="G8" s="716"/>
      <c r="H8" s="716"/>
      <c r="I8" s="716"/>
      <c r="J8" s="716"/>
      <c r="K8" s="716"/>
      <c r="L8" s="716"/>
      <c r="M8" s="716"/>
    </row>
    <row r="10" spans="2:4" ht="18">
      <c r="B10" s="116" t="s">
        <v>295</v>
      </c>
      <c r="C10" s="117"/>
      <c r="D10" s="3"/>
    </row>
    <row r="11" spans="2:4" ht="10.5" customHeight="1">
      <c r="B11" s="4"/>
      <c r="C11" s="3"/>
      <c r="D11" s="3"/>
    </row>
    <row r="12" spans="1:13" s="17" customFormat="1" ht="16.5" customHeight="1">
      <c r="A12" s="18"/>
      <c r="B12" s="717" t="s">
        <v>302</v>
      </c>
      <c r="C12" s="717"/>
      <c r="D12" s="717"/>
      <c r="E12" s="717"/>
      <c r="F12" s="717"/>
      <c r="G12" s="717"/>
      <c r="H12" s="717"/>
      <c r="I12" s="717"/>
      <c r="J12" s="717"/>
      <c r="K12" s="717"/>
      <c r="L12" s="717"/>
      <c r="M12" s="717"/>
    </row>
    <row r="13" spans="2:13" ht="10.5" customHeight="1">
      <c r="B13" s="118"/>
      <c r="C13" s="119"/>
      <c r="D13" s="118"/>
      <c r="E13" s="10"/>
      <c r="F13" s="118"/>
      <c r="G13" s="53"/>
      <c r="H13" s="53"/>
      <c r="I13" s="53"/>
      <c r="J13" s="53"/>
      <c r="K13" s="53"/>
      <c r="L13" s="599"/>
      <c r="M13" s="600"/>
    </row>
    <row r="14" spans="2:11" ht="15.75" customHeight="1">
      <c r="B14" s="120" t="s">
        <v>303</v>
      </c>
      <c r="C14" s="718" t="s">
        <v>490</v>
      </c>
      <c r="D14" s="718"/>
      <c r="E14" s="718"/>
      <c r="F14" s="718"/>
      <c r="G14" s="718"/>
      <c r="H14" s="718"/>
      <c r="I14" s="718"/>
      <c r="J14" s="718"/>
      <c r="K14" s="718"/>
    </row>
    <row r="15" spans="2:11" ht="7.5" customHeight="1">
      <c r="B15" s="121"/>
      <c r="C15" s="711"/>
      <c r="D15" s="712"/>
      <c r="E15" s="712"/>
      <c r="F15" s="712"/>
      <c r="G15" s="712"/>
      <c r="H15" s="712"/>
      <c r="I15" s="712"/>
      <c r="J15" s="712"/>
      <c r="K15" s="713"/>
    </row>
    <row r="16" spans="2:11" ht="15.75" customHeight="1">
      <c r="B16" s="121" t="s">
        <v>304</v>
      </c>
      <c r="C16" s="711" t="s">
        <v>306</v>
      </c>
      <c r="D16" s="712"/>
      <c r="E16" s="712"/>
      <c r="F16" s="712"/>
      <c r="G16" s="712"/>
      <c r="H16" s="712"/>
      <c r="I16" s="712"/>
      <c r="J16" s="712"/>
      <c r="K16" s="713"/>
    </row>
    <row r="17" spans="2:11" ht="7.5" customHeight="1">
      <c r="B17" s="121"/>
      <c r="C17" s="711"/>
      <c r="D17" s="712"/>
      <c r="E17" s="712"/>
      <c r="F17" s="712"/>
      <c r="G17" s="712"/>
      <c r="H17" s="712"/>
      <c r="I17" s="712"/>
      <c r="J17" s="712"/>
      <c r="K17" s="713"/>
    </row>
    <row r="18" spans="2:12" ht="15.75" customHeight="1">
      <c r="B18" s="121" t="s">
        <v>307</v>
      </c>
      <c r="C18" s="711" t="s">
        <v>140</v>
      </c>
      <c r="D18" s="714"/>
      <c r="E18" s="714"/>
      <c r="F18" s="714"/>
      <c r="G18" s="714"/>
      <c r="H18" s="714"/>
      <c r="I18" s="714"/>
      <c r="J18" s="714"/>
      <c r="K18" s="714"/>
      <c r="L18" s="89" t="s">
        <v>75</v>
      </c>
    </row>
    <row r="19" spans="2:11" ht="7.5" customHeight="1">
      <c r="B19" s="121"/>
      <c r="C19" s="711"/>
      <c r="D19" s="712"/>
      <c r="E19" s="712"/>
      <c r="F19" s="712"/>
      <c r="G19" s="712"/>
      <c r="H19" s="712"/>
      <c r="I19" s="712"/>
      <c r="J19" s="712"/>
      <c r="K19" s="713"/>
    </row>
    <row r="20" spans="2:12" ht="15.75" customHeight="1">
      <c r="B20" s="121" t="s">
        <v>308</v>
      </c>
      <c r="C20" s="711" t="s">
        <v>83</v>
      </c>
      <c r="D20" s="714"/>
      <c r="E20" s="714"/>
      <c r="F20" s="714"/>
      <c r="G20" s="714"/>
      <c r="H20" s="714"/>
      <c r="I20" s="714"/>
      <c r="J20" s="714"/>
      <c r="K20" s="714"/>
      <c r="L20" s="89" t="s">
        <v>292</v>
      </c>
    </row>
    <row r="21" spans="2:11" ht="7.5" customHeight="1">
      <c r="B21" s="121"/>
      <c r="C21" s="711"/>
      <c r="D21" s="712"/>
      <c r="E21" s="712"/>
      <c r="F21" s="712"/>
      <c r="G21" s="712"/>
      <c r="H21" s="712"/>
      <c r="I21" s="712"/>
      <c r="J21" s="712"/>
      <c r="K21" s="713"/>
    </row>
    <row r="22" spans="2:12" ht="15.75" customHeight="1">
      <c r="B22" s="121" t="s">
        <v>309</v>
      </c>
      <c r="C22" s="711" t="s">
        <v>48</v>
      </c>
      <c r="D22" s="714"/>
      <c r="E22" s="714"/>
      <c r="F22" s="714"/>
      <c r="G22" s="714"/>
      <c r="H22" s="714"/>
      <c r="I22" s="714"/>
      <c r="J22" s="714"/>
      <c r="K22" s="714"/>
      <c r="L22" s="89" t="s">
        <v>79</v>
      </c>
    </row>
    <row r="23" spans="2:11" ht="7.5" customHeight="1">
      <c r="B23" s="121"/>
      <c r="C23" s="711"/>
      <c r="D23" s="712"/>
      <c r="E23" s="712"/>
      <c r="F23" s="712"/>
      <c r="G23" s="712"/>
      <c r="H23" s="712"/>
      <c r="I23" s="712"/>
      <c r="J23" s="712"/>
      <c r="K23" s="713"/>
    </row>
    <row r="24" spans="2:12" ht="15.75" customHeight="1">
      <c r="B24" s="121" t="s">
        <v>263</v>
      </c>
      <c r="C24" s="711" t="s">
        <v>84</v>
      </c>
      <c r="D24" s="712"/>
      <c r="E24" s="712"/>
      <c r="F24" s="712"/>
      <c r="G24" s="712"/>
      <c r="H24" s="712"/>
      <c r="I24" s="712"/>
      <c r="J24" s="712"/>
      <c r="K24" s="713"/>
      <c r="L24" s="89" t="s">
        <v>34</v>
      </c>
    </row>
    <row r="25" spans="2:11" ht="7.5" customHeight="1">
      <c r="B25" s="121"/>
      <c r="C25" s="711"/>
      <c r="D25" s="712"/>
      <c r="E25" s="712"/>
      <c r="F25" s="712"/>
      <c r="G25" s="712"/>
      <c r="H25" s="712"/>
      <c r="I25" s="712"/>
      <c r="J25" s="712"/>
      <c r="K25" s="713"/>
    </row>
    <row r="26" spans="2:12" ht="15.75" customHeight="1">
      <c r="B26" s="121" t="s">
        <v>316</v>
      </c>
      <c r="C26" s="711" t="s">
        <v>141</v>
      </c>
      <c r="D26" s="714"/>
      <c r="E26" s="714"/>
      <c r="F26" s="714"/>
      <c r="G26" s="714"/>
      <c r="H26" s="714"/>
      <c r="I26" s="714"/>
      <c r="J26" s="714"/>
      <c r="K26" s="714"/>
      <c r="L26" s="89" t="s">
        <v>80</v>
      </c>
    </row>
    <row r="27" spans="2:11" ht="7.5" customHeight="1">
      <c r="B27" s="121"/>
      <c r="C27" s="711"/>
      <c r="D27" s="712"/>
      <c r="E27" s="712"/>
      <c r="F27" s="712"/>
      <c r="G27" s="712"/>
      <c r="H27" s="712"/>
      <c r="I27" s="712"/>
      <c r="J27" s="712"/>
      <c r="K27" s="713"/>
    </row>
    <row r="28" spans="2:11" ht="15.75" customHeight="1">
      <c r="B28" s="121" t="s">
        <v>264</v>
      </c>
      <c r="C28" s="711" t="s">
        <v>132</v>
      </c>
      <c r="D28" s="712"/>
      <c r="E28" s="712"/>
      <c r="F28" s="712"/>
      <c r="G28" s="712"/>
      <c r="H28" s="712"/>
      <c r="I28" s="712"/>
      <c r="J28" s="712"/>
      <c r="K28" s="713"/>
    </row>
    <row r="29" spans="2:13" s="7" customFormat="1" ht="15">
      <c r="B29" s="12"/>
      <c r="C29" s="710"/>
      <c r="D29" s="710"/>
      <c r="E29" s="710"/>
      <c r="F29" s="710"/>
      <c r="G29" s="710"/>
      <c r="H29" s="710"/>
      <c r="I29" s="710"/>
      <c r="J29" s="710"/>
      <c r="K29" s="710"/>
      <c r="L29" s="601"/>
      <c r="M29" s="602"/>
    </row>
    <row r="30" ht="27" customHeight="1"/>
    <row r="31" ht="27.75" customHeight="1"/>
    <row r="32" ht="27.75" customHeight="1"/>
    <row r="33" ht="30.75" customHeight="1"/>
    <row r="34" ht="26.25" customHeight="1"/>
    <row r="35" ht="32.25" customHeight="1"/>
    <row r="36" ht="40.5" customHeight="1"/>
    <row r="37" ht="28.5" customHeight="1"/>
    <row r="38" spans="2:4" ht="12.75">
      <c r="B38" s="3"/>
      <c r="C38" s="3"/>
      <c r="D38" s="3"/>
    </row>
  </sheetData>
  <sheetProtection sheet="1" formatCells="0" formatColumns="0" formatRows="0" insertColumns="0"/>
  <mergeCells count="19">
    <mergeCell ref="B7:M7"/>
    <mergeCell ref="B8:M8"/>
    <mergeCell ref="B12:M12"/>
    <mergeCell ref="C14:K14"/>
    <mergeCell ref="C15:K15"/>
    <mergeCell ref="C16:K16"/>
    <mergeCell ref="C17:K17"/>
    <mergeCell ref="C18:K18"/>
    <mergeCell ref="C19:K19"/>
    <mergeCell ref="C20:K20"/>
    <mergeCell ref="C21:K21"/>
    <mergeCell ref="C22:K22"/>
    <mergeCell ref="C29:K29"/>
    <mergeCell ref="C23:K23"/>
    <mergeCell ref="C24:K24"/>
    <mergeCell ref="C25:K25"/>
    <mergeCell ref="C26:K26"/>
    <mergeCell ref="C27:K27"/>
    <mergeCell ref="C28:K28"/>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7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5">
      <c r="C3" s="28" t="s">
        <v>297</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96" t="s">
        <v>198</v>
      </c>
      <c r="D5" s="897"/>
      <c r="E5" s="897"/>
      <c r="F5" s="897"/>
      <c r="G5" s="897"/>
      <c r="H5" s="897"/>
      <c r="I5" s="897"/>
      <c r="J5" s="897"/>
      <c r="K5" s="897"/>
      <c r="L5" s="897"/>
      <c r="M5" s="897"/>
      <c r="N5" s="26"/>
      <c r="O5" s="26"/>
      <c r="P5" s="26"/>
    </row>
    <row r="6" ht="9.75" customHeight="1"/>
    <row r="7" spans="3:16" ht="17.25" customHeight="1">
      <c r="C7" s="893" t="s">
        <v>11</v>
      </c>
      <c r="D7" s="894"/>
      <c r="E7" s="894"/>
      <c r="F7" s="894"/>
      <c r="G7" s="894"/>
      <c r="H7" s="894"/>
      <c r="I7" s="894"/>
      <c r="J7" s="894"/>
      <c r="K7" s="894"/>
      <c r="L7" s="894"/>
      <c r="M7" s="894"/>
      <c r="N7" s="894"/>
      <c r="O7" s="894"/>
      <c r="P7" s="895"/>
    </row>
    <row r="8" spans="3:16" ht="25.5" customHeight="1">
      <c r="C8" s="901"/>
      <c r="D8" s="902"/>
      <c r="E8" s="902"/>
      <c r="F8" s="902"/>
      <c r="G8" s="902"/>
      <c r="H8" s="902"/>
      <c r="I8" s="902"/>
      <c r="J8" s="902"/>
      <c r="K8" s="902"/>
      <c r="L8" s="902"/>
      <c r="M8" s="902"/>
      <c r="N8" s="902"/>
      <c r="O8" s="902"/>
      <c r="P8" s="903"/>
    </row>
    <row r="9" spans="3:16" ht="39" customHeight="1">
      <c r="C9" s="898" t="s">
        <v>252</v>
      </c>
      <c r="D9" s="899"/>
      <c r="E9" s="899"/>
      <c r="F9" s="899"/>
      <c r="G9" s="899"/>
      <c r="H9" s="899"/>
      <c r="I9" s="899"/>
      <c r="J9" s="899"/>
      <c r="K9" s="899"/>
      <c r="L9" s="899"/>
      <c r="M9" s="899"/>
      <c r="N9" s="899"/>
      <c r="O9" s="899"/>
      <c r="P9" s="900"/>
    </row>
    <row r="10" spans="3:16" ht="15" customHeight="1">
      <c r="C10" s="883"/>
      <c r="D10" s="884"/>
      <c r="E10" s="884"/>
      <c r="F10" s="884"/>
      <c r="G10" s="884"/>
      <c r="H10" s="884"/>
      <c r="I10" s="884"/>
      <c r="J10" s="884"/>
      <c r="K10" s="884"/>
      <c r="L10" s="884"/>
      <c r="M10" s="884"/>
      <c r="N10" s="884"/>
      <c r="O10" s="884"/>
      <c r="P10" s="885"/>
    </row>
    <row r="11" spans="3:16" ht="15" customHeight="1">
      <c r="C11" s="883"/>
      <c r="D11" s="884"/>
      <c r="E11" s="884"/>
      <c r="F11" s="884"/>
      <c r="G11" s="884"/>
      <c r="H11" s="884"/>
      <c r="I11" s="884"/>
      <c r="J11" s="884"/>
      <c r="K11" s="884"/>
      <c r="L11" s="884"/>
      <c r="M11" s="884"/>
      <c r="N11" s="884"/>
      <c r="O11" s="884"/>
      <c r="P11" s="885"/>
    </row>
    <row r="12" spans="3:16" ht="15" customHeight="1">
      <c r="C12" s="883"/>
      <c r="D12" s="884"/>
      <c r="E12" s="884"/>
      <c r="F12" s="884"/>
      <c r="G12" s="884"/>
      <c r="H12" s="884"/>
      <c r="I12" s="884"/>
      <c r="J12" s="884"/>
      <c r="K12" s="884"/>
      <c r="L12" s="884"/>
      <c r="M12" s="884"/>
      <c r="N12" s="884"/>
      <c r="O12" s="884"/>
      <c r="P12" s="885"/>
    </row>
    <row r="13" spans="3:16" ht="15" customHeight="1">
      <c r="C13" s="883"/>
      <c r="D13" s="886"/>
      <c r="E13" s="886"/>
      <c r="F13" s="886"/>
      <c r="G13" s="886"/>
      <c r="H13" s="886"/>
      <c r="I13" s="886"/>
      <c r="J13" s="886"/>
      <c r="K13" s="886"/>
      <c r="L13" s="886"/>
      <c r="M13" s="886"/>
      <c r="N13" s="886"/>
      <c r="O13" s="886"/>
      <c r="P13" s="887"/>
    </row>
    <row r="14" spans="3:16" ht="15" customHeight="1">
      <c r="C14" s="883"/>
      <c r="D14" s="884"/>
      <c r="E14" s="884"/>
      <c r="F14" s="884"/>
      <c r="G14" s="884"/>
      <c r="H14" s="884"/>
      <c r="I14" s="884"/>
      <c r="J14" s="884"/>
      <c r="K14" s="884"/>
      <c r="L14" s="884"/>
      <c r="M14" s="884"/>
      <c r="N14" s="884"/>
      <c r="O14" s="884"/>
      <c r="P14" s="885"/>
    </row>
    <row r="15" spans="3:16" ht="15" customHeight="1">
      <c r="C15" s="883"/>
      <c r="D15" s="884"/>
      <c r="E15" s="884"/>
      <c r="F15" s="884"/>
      <c r="G15" s="884"/>
      <c r="H15" s="884"/>
      <c r="I15" s="884"/>
      <c r="J15" s="884"/>
      <c r="K15" s="884"/>
      <c r="L15" s="884"/>
      <c r="M15" s="884"/>
      <c r="N15" s="884"/>
      <c r="O15" s="884"/>
      <c r="P15" s="885"/>
    </row>
    <row r="16" spans="3:16" ht="15" customHeight="1">
      <c r="C16" s="883"/>
      <c r="D16" s="884"/>
      <c r="E16" s="884"/>
      <c r="F16" s="884"/>
      <c r="G16" s="884"/>
      <c r="H16" s="884"/>
      <c r="I16" s="884"/>
      <c r="J16" s="884"/>
      <c r="K16" s="884"/>
      <c r="L16" s="884"/>
      <c r="M16" s="884"/>
      <c r="N16" s="884"/>
      <c r="O16" s="884"/>
      <c r="P16" s="885"/>
    </row>
    <row r="17" spans="3:16" ht="15" customHeight="1">
      <c r="C17" s="883"/>
      <c r="D17" s="886"/>
      <c r="E17" s="886"/>
      <c r="F17" s="886"/>
      <c r="G17" s="886"/>
      <c r="H17" s="886"/>
      <c r="I17" s="886"/>
      <c r="J17" s="886"/>
      <c r="K17" s="886"/>
      <c r="L17" s="886"/>
      <c r="M17" s="886"/>
      <c r="N17" s="886"/>
      <c r="O17" s="886"/>
      <c r="P17" s="887"/>
    </row>
    <row r="18" spans="3:16" ht="15" customHeight="1">
      <c r="C18" s="883"/>
      <c r="D18" s="886"/>
      <c r="E18" s="886"/>
      <c r="F18" s="886"/>
      <c r="G18" s="886"/>
      <c r="H18" s="886"/>
      <c r="I18" s="886"/>
      <c r="J18" s="886"/>
      <c r="K18" s="886"/>
      <c r="L18" s="886"/>
      <c r="M18" s="886"/>
      <c r="N18" s="886"/>
      <c r="O18" s="886"/>
      <c r="P18" s="887"/>
    </row>
    <row r="19" spans="3:16" ht="15" customHeight="1">
      <c r="C19" s="893" t="s">
        <v>43</v>
      </c>
      <c r="D19" s="894"/>
      <c r="E19" s="894"/>
      <c r="F19" s="894"/>
      <c r="G19" s="894"/>
      <c r="H19" s="894"/>
      <c r="I19" s="894"/>
      <c r="J19" s="894"/>
      <c r="K19" s="894"/>
      <c r="L19" s="894"/>
      <c r="M19" s="894"/>
      <c r="N19" s="894"/>
      <c r="O19" s="894"/>
      <c r="P19" s="895"/>
    </row>
    <row r="20" spans="3:16" ht="15" customHeight="1">
      <c r="C20" s="883"/>
      <c r="D20" s="888"/>
      <c r="E20" s="888"/>
      <c r="F20" s="888"/>
      <c r="G20" s="888"/>
      <c r="H20" s="888"/>
      <c r="I20" s="888"/>
      <c r="J20" s="888"/>
      <c r="K20" s="888"/>
      <c r="L20" s="888"/>
      <c r="M20" s="888"/>
      <c r="N20" s="888"/>
      <c r="O20" s="888"/>
      <c r="P20" s="889"/>
    </row>
    <row r="21" spans="3:16" ht="15" customHeight="1">
      <c r="C21" s="883"/>
      <c r="D21" s="888"/>
      <c r="E21" s="888"/>
      <c r="F21" s="888"/>
      <c r="G21" s="888"/>
      <c r="H21" s="888"/>
      <c r="I21" s="888"/>
      <c r="J21" s="888"/>
      <c r="K21" s="888"/>
      <c r="L21" s="888"/>
      <c r="M21" s="888"/>
      <c r="N21" s="888"/>
      <c r="O21" s="888"/>
      <c r="P21" s="889"/>
    </row>
    <row r="22" spans="3:16" ht="15" customHeight="1">
      <c r="C22" s="883"/>
      <c r="D22" s="888"/>
      <c r="E22" s="888"/>
      <c r="F22" s="888"/>
      <c r="G22" s="888"/>
      <c r="H22" s="888"/>
      <c r="I22" s="888"/>
      <c r="J22" s="888"/>
      <c r="K22" s="888"/>
      <c r="L22" s="888"/>
      <c r="M22" s="888"/>
      <c r="N22" s="888"/>
      <c r="O22" s="888"/>
      <c r="P22" s="889"/>
    </row>
    <row r="23" spans="3:16" ht="15" customHeight="1">
      <c r="C23" s="883"/>
      <c r="D23" s="888"/>
      <c r="E23" s="888"/>
      <c r="F23" s="888"/>
      <c r="G23" s="888"/>
      <c r="H23" s="888"/>
      <c r="I23" s="888"/>
      <c r="J23" s="888"/>
      <c r="K23" s="888"/>
      <c r="L23" s="888"/>
      <c r="M23" s="888"/>
      <c r="N23" s="888"/>
      <c r="O23" s="888"/>
      <c r="P23" s="889"/>
    </row>
    <row r="24" spans="3:16" ht="15" customHeight="1">
      <c r="C24" s="890"/>
      <c r="D24" s="891"/>
      <c r="E24" s="891"/>
      <c r="F24" s="891"/>
      <c r="G24" s="891"/>
      <c r="H24" s="891"/>
      <c r="I24" s="891"/>
      <c r="J24" s="891"/>
      <c r="K24" s="891"/>
      <c r="L24" s="891"/>
      <c r="M24" s="891"/>
      <c r="N24" s="891"/>
      <c r="O24" s="891"/>
      <c r="P24" s="892"/>
    </row>
  </sheetData>
  <sheetProtection sheet="1"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75">
      <c r="A1" s="32"/>
      <c r="B1" s="27" t="s">
        <v>294</v>
      </c>
    </row>
    <row r="2" ht="9.75" customHeight="1"/>
    <row r="3" spans="2:11" s="17" customFormat="1" ht="16.5" customHeight="1">
      <c r="B3" s="731" t="s">
        <v>311</v>
      </c>
      <c r="C3" s="731"/>
      <c r="D3" s="731"/>
      <c r="E3" s="731"/>
      <c r="F3" s="731"/>
      <c r="G3" s="731"/>
      <c r="H3" s="731"/>
      <c r="I3" s="731"/>
      <c r="J3" s="731"/>
      <c r="K3" s="731"/>
    </row>
    <row r="4" ht="9.75" customHeight="1">
      <c r="C4" s="13"/>
    </row>
    <row r="5" spans="2:11" s="17" customFormat="1" ht="15.75">
      <c r="B5" s="734" t="s">
        <v>312</v>
      </c>
      <c r="C5" s="734"/>
      <c r="D5" s="734"/>
      <c r="E5" s="734"/>
      <c r="F5" s="734"/>
      <c r="G5" s="734"/>
      <c r="H5" s="734"/>
      <c r="I5" s="734"/>
      <c r="J5" s="734"/>
      <c r="K5" s="734"/>
    </row>
    <row r="6" spans="2:10" ht="7.5" customHeight="1">
      <c r="B6" s="14"/>
      <c r="C6" s="15"/>
      <c r="D6" s="9"/>
      <c r="F6" s="9"/>
      <c r="G6" s="6"/>
      <c r="H6" s="6"/>
      <c r="I6" s="6"/>
      <c r="J6" s="6"/>
    </row>
    <row r="7" spans="2:11" s="10" customFormat="1" ht="40.5" customHeight="1">
      <c r="B7" s="732" t="s">
        <v>594</v>
      </c>
      <c r="C7" s="732"/>
      <c r="D7" s="732"/>
      <c r="E7" s="732"/>
      <c r="F7" s="732"/>
      <c r="G7" s="732"/>
      <c r="H7" s="732"/>
      <c r="I7" s="732"/>
      <c r="J7" s="732"/>
      <c r="K7" s="732"/>
    </row>
    <row r="8" spans="2:11" s="10" customFormat="1" ht="7.5" customHeight="1">
      <c r="B8" s="39"/>
      <c r="C8" s="39"/>
      <c r="D8" s="39"/>
      <c r="E8" s="39"/>
      <c r="F8" s="39"/>
      <c r="G8" s="39"/>
      <c r="H8" s="39"/>
      <c r="I8" s="39"/>
      <c r="J8" s="39"/>
      <c r="K8" s="39"/>
    </row>
    <row r="9" spans="2:11" s="10" customFormat="1" ht="27" customHeight="1">
      <c r="B9" s="732" t="s">
        <v>175</v>
      </c>
      <c r="C9" s="748"/>
      <c r="D9" s="748"/>
      <c r="E9" s="748"/>
      <c r="F9" s="748"/>
      <c r="G9" s="748"/>
      <c r="H9" s="748"/>
      <c r="I9" s="748"/>
      <c r="J9" s="748"/>
      <c r="K9" s="748"/>
    </row>
    <row r="10" spans="2:11" s="10" customFormat="1" ht="4.5" customHeight="1">
      <c r="B10" s="122"/>
      <c r="C10" s="122"/>
      <c r="D10" s="122"/>
      <c r="E10" s="122"/>
      <c r="F10" s="122"/>
      <c r="G10" s="122"/>
      <c r="H10" s="122"/>
      <c r="I10" s="122"/>
      <c r="J10" s="122"/>
      <c r="K10" s="122"/>
    </row>
    <row r="11" spans="2:11" s="2" customFormat="1" ht="26.25" customHeight="1">
      <c r="B11" s="723" t="s">
        <v>602</v>
      </c>
      <c r="C11" s="723"/>
      <c r="D11" s="723"/>
      <c r="E11" s="723"/>
      <c r="F11" s="723"/>
      <c r="G11" s="723"/>
      <c r="H11" s="723"/>
      <c r="I11" s="723"/>
      <c r="J11" s="723"/>
      <c r="K11" s="723"/>
    </row>
    <row r="12" spans="2:11" s="10" customFormat="1" ht="4.5" customHeight="1">
      <c r="B12" s="39"/>
      <c r="C12" s="39"/>
      <c r="D12" s="39"/>
      <c r="E12" s="39"/>
      <c r="F12" s="39"/>
      <c r="G12" s="39"/>
      <c r="H12" s="39"/>
      <c r="I12" s="39"/>
      <c r="J12" s="39"/>
      <c r="K12" s="39"/>
    </row>
    <row r="13" spans="2:11" s="10" customFormat="1" ht="18.75" customHeight="1">
      <c r="B13" s="721" t="s">
        <v>174</v>
      </c>
      <c r="C13" s="721"/>
      <c r="D13" s="721"/>
      <c r="E13" s="721"/>
      <c r="F13" s="721"/>
      <c r="G13" s="721"/>
      <c r="H13" s="721"/>
      <c r="I13" s="721"/>
      <c r="J13" s="721"/>
      <c r="K13" s="721"/>
    </row>
    <row r="14" spans="2:11" s="10" customFormat="1" ht="4.5" customHeight="1">
      <c r="B14" s="39"/>
      <c r="C14" s="39"/>
      <c r="D14" s="39"/>
      <c r="E14" s="39"/>
      <c r="F14" s="39"/>
      <c r="G14" s="39"/>
      <c r="H14" s="39"/>
      <c r="I14" s="39"/>
      <c r="J14" s="39"/>
      <c r="K14" s="39"/>
    </row>
    <row r="15" spans="2:11" s="50" customFormat="1" ht="26.25" customHeight="1">
      <c r="B15" s="747" t="s">
        <v>586</v>
      </c>
      <c r="C15" s="747"/>
      <c r="D15" s="747"/>
      <c r="E15" s="747"/>
      <c r="F15" s="747"/>
      <c r="G15" s="747"/>
      <c r="H15" s="747"/>
      <c r="I15" s="747"/>
      <c r="J15" s="747"/>
      <c r="K15" s="747"/>
    </row>
    <row r="16" spans="2:11" s="10" customFormat="1" ht="4.5" customHeight="1">
      <c r="B16" s="39"/>
      <c r="C16" s="39"/>
      <c r="D16" s="39"/>
      <c r="E16" s="39"/>
      <c r="F16" s="39"/>
      <c r="G16" s="39"/>
      <c r="H16" s="39"/>
      <c r="I16" s="39"/>
      <c r="J16" s="39"/>
      <c r="K16" s="39"/>
    </row>
    <row r="17" spans="2:11" s="10" customFormat="1" ht="29.25" customHeight="1">
      <c r="B17" s="732" t="s">
        <v>42</v>
      </c>
      <c r="C17" s="732"/>
      <c r="D17" s="732"/>
      <c r="E17" s="732"/>
      <c r="F17" s="732"/>
      <c r="G17" s="732"/>
      <c r="H17" s="732"/>
      <c r="I17" s="732"/>
      <c r="J17" s="732"/>
      <c r="K17" s="732"/>
    </row>
    <row r="18" spans="2:11" s="10" customFormat="1" ht="4.5" customHeight="1">
      <c r="B18" s="122"/>
      <c r="C18" s="122"/>
      <c r="D18" s="122"/>
      <c r="E18" s="122"/>
      <c r="F18" s="122"/>
      <c r="G18" s="122"/>
      <c r="H18" s="122"/>
      <c r="I18" s="122"/>
      <c r="J18" s="122"/>
      <c r="K18" s="122"/>
    </row>
    <row r="19" spans="2:11" s="10" customFormat="1" ht="26.25" customHeight="1">
      <c r="B19" s="732" t="s">
        <v>189</v>
      </c>
      <c r="C19" s="732"/>
      <c r="D19" s="732"/>
      <c r="E19" s="732"/>
      <c r="F19" s="732"/>
      <c r="G19" s="732"/>
      <c r="H19" s="732"/>
      <c r="I19" s="732"/>
      <c r="J19" s="732"/>
      <c r="K19" s="732"/>
    </row>
    <row r="20" spans="2:11" s="10" customFormat="1" ht="4.5" customHeight="1">
      <c r="B20" s="115"/>
      <c r="C20" s="115"/>
      <c r="D20" s="115"/>
      <c r="E20" s="115"/>
      <c r="F20" s="115"/>
      <c r="G20" s="115"/>
      <c r="H20" s="115"/>
      <c r="I20" s="115"/>
      <c r="J20" s="115"/>
      <c r="K20" s="115"/>
    </row>
    <row r="21" spans="2:11" s="10" customFormat="1" ht="26.25" customHeight="1">
      <c r="B21" s="732" t="s">
        <v>515</v>
      </c>
      <c r="C21" s="732"/>
      <c r="D21" s="732"/>
      <c r="E21" s="732"/>
      <c r="F21" s="732"/>
      <c r="G21" s="732"/>
      <c r="H21" s="732"/>
      <c r="I21" s="732"/>
      <c r="J21" s="732"/>
      <c r="K21" s="732"/>
    </row>
    <row r="22" spans="2:11" s="10" customFormat="1" ht="26.25" customHeight="1">
      <c r="B22" s="745" t="s">
        <v>74</v>
      </c>
      <c r="C22" s="745"/>
      <c r="D22" s="745"/>
      <c r="E22" s="745"/>
      <c r="F22" s="745"/>
      <c r="G22" s="745"/>
      <c r="H22" s="745"/>
      <c r="I22" s="745"/>
      <c r="J22" s="745"/>
      <c r="K22" s="745"/>
    </row>
    <row r="23" spans="2:11" s="10" customFormat="1" ht="6.75" customHeight="1">
      <c r="B23" s="124"/>
      <c r="C23" s="39"/>
      <c r="D23" s="39"/>
      <c r="E23" s="39"/>
      <c r="F23" s="39"/>
      <c r="G23" s="39"/>
      <c r="H23" s="39"/>
      <c r="I23" s="39"/>
      <c r="J23" s="39"/>
      <c r="K23" s="39"/>
    </row>
    <row r="24" spans="2:11" s="10" customFormat="1" ht="38.25" customHeight="1">
      <c r="B24" s="732" t="s">
        <v>585</v>
      </c>
      <c r="C24" s="732"/>
      <c r="D24" s="732"/>
      <c r="E24" s="735"/>
      <c r="F24" s="735"/>
      <c r="G24" s="735"/>
      <c r="H24" s="735"/>
      <c r="I24" s="735"/>
      <c r="J24" s="735"/>
      <c r="K24" s="735"/>
    </row>
    <row r="25" spans="2:11" s="10" customFormat="1" ht="18" customHeight="1">
      <c r="B25" s="738" t="s">
        <v>622</v>
      </c>
      <c r="C25" s="739"/>
      <c r="D25" s="739"/>
      <c r="E25" s="739"/>
      <c r="F25" s="739"/>
      <c r="G25" s="739"/>
      <c r="H25" s="739"/>
      <c r="I25" s="739"/>
      <c r="J25" s="739"/>
      <c r="K25" s="739"/>
    </row>
    <row r="26" spans="2:11" s="10" customFormat="1" ht="41.25" customHeight="1">
      <c r="B26" s="736" t="s">
        <v>626</v>
      </c>
      <c r="C26" s="737"/>
      <c r="D26" s="737"/>
      <c r="E26" s="737"/>
      <c r="F26" s="737"/>
      <c r="G26" s="737"/>
      <c r="H26" s="737"/>
      <c r="I26" s="737"/>
      <c r="J26" s="737"/>
      <c r="K26" s="737"/>
    </row>
    <row r="27" spans="2:11" ht="10.5" customHeight="1">
      <c r="B27" s="115"/>
      <c r="C27" s="115"/>
      <c r="D27" s="115"/>
      <c r="E27" s="115"/>
      <c r="F27" s="115"/>
      <c r="G27" s="115"/>
      <c r="H27" s="115"/>
      <c r="I27" s="115"/>
      <c r="J27" s="115"/>
      <c r="K27" s="115"/>
    </row>
    <row r="28" spans="2:11" s="10" customFormat="1" ht="8.25" customHeight="1">
      <c r="B28" s="732"/>
      <c r="C28" s="733"/>
      <c r="D28" s="733"/>
      <c r="E28" s="733"/>
      <c r="F28" s="733"/>
      <c r="G28" s="733"/>
      <c r="H28" s="733"/>
      <c r="I28" s="733"/>
      <c r="J28" s="733"/>
      <c r="K28" s="733"/>
    </row>
    <row r="29" spans="2:11" ht="0.75" customHeight="1">
      <c r="B29" s="157"/>
      <c r="C29" s="158"/>
      <c r="D29" s="158"/>
      <c r="E29" s="158"/>
      <c r="F29" s="158"/>
      <c r="G29" s="158"/>
      <c r="H29" s="158"/>
      <c r="I29" s="158"/>
      <c r="J29" s="158"/>
      <c r="K29" s="159"/>
    </row>
    <row r="30" spans="2:11" s="17" customFormat="1" ht="15.75">
      <c r="B30" s="734" t="s">
        <v>313</v>
      </c>
      <c r="C30" s="746"/>
      <c r="D30" s="746"/>
      <c r="E30" s="746"/>
      <c r="F30" s="746"/>
      <c r="G30" s="746"/>
      <c r="H30" s="746"/>
      <c r="I30" s="746"/>
      <c r="J30" s="746"/>
      <c r="K30" s="746"/>
    </row>
    <row r="31" spans="2:11" ht="7.5" customHeight="1">
      <c r="B31" s="90"/>
      <c r="C31" s="37"/>
      <c r="D31" s="90"/>
      <c r="E31" s="37"/>
      <c r="F31" s="90"/>
      <c r="G31" s="37"/>
      <c r="H31" s="90"/>
      <c r="I31" s="37"/>
      <c r="J31" s="90"/>
      <c r="K31" s="37"/>
    </row>
    <row r="32" spans="2:11" ht="7.5" customHeight="1">
      <c r="B32" s="719"/>
      <c r="C32" s="719"/>
      <c r="D32" s="719"/>
      <c r="E32" s="719"/>
      <c r="F32" s="719"/>
      <c r="G32" s="719"/>
      <c r="H32" s="719"/>
      <c r="I32" s="719"/>
      <c r="J32" s="719"/>
      <c r="K32" s="719"/>
    </row>
    <row r="33" spans="2:11" s="50" customFormat="1" ht="15.75" customHeight="1">
      <c r="B33" s="126" t="s">
        <v>314</v>
      </c>
      <c r="C33" s="723" t="s">
        <v>179</v>
      </c>
      <c r="D33" s="723"/>
      <c r="E33" s="723"/>
      <c r="F33" s="723"/>
      <c r="G33" s="723"/>
      <c r="H33" s="723"/>
      <c r="I33" s="723"/>
      <c r="J33" s="723"/>
      <c r="K33" s="723"/>
    </row>
    <row r="34" spans="2:11" s="50" customFormat="1" ht="26.25" customHeight="1">
      <c r="B34" s="126" t="s">
        <v>314</v>
      </c>
      <c r="C34" s="720" t="s">
        <v>595</v>
      </c>
      <c r="D34" s="720"/>
      <c r="E34" s="720"/>
      <c r="F34" s="720"/>
      <c r="G34" s="720"/>
      <c r="H34" s="720"/>
      <c r="I34" s="720"/>
      <c r="J34" s="720"/>
      <c r="K34" s="720"/>
    </row>
    <row r="35" spans="2:11" s="40" customFormat="1" ht="51" customHeight="1">
      <c r="B35" s="126" t="s">
        <v>314</v>
      </c>
      <c r="C35" s="720" t="s">
        <v>101</v>
      </c>
      <c r="D35" s="720"/>
      <c r="E35" s="720"/>
      <c r="F35" s="720"/>
      <c r="G35" s="720"/>
      <c r="H35" s="720"/>
      <c r="I35" s="720"/>
      <c r="J35" s="720"/>
      <c r="K35" s="720"/>
    </row>
    <row r="36" spans="2:11" s="50" customFormat="1" ht="26.25" customHeight="1">
      <c r="B36" s="127" t="s">
        <v>314</v>
      </c>
      <c r="C36" s="724" t="s">
        <v>133</v>
      </c>
      <c r="D36" s="724"/>
      <c r="E36" s="724"/>
      <c r="F36" s="724"/>
      <c r="G36" s="724"/>
      <c r="H36" s="724"/>
      <c r="I36" s="724"/>
      <c r="J36" s="724"/>
      <c r="K36" s="724"/>
    </row>
    <row r="37" spans="2:11" s="50" customFormat="1" ht="27.75" customHeight="1">
      <c r="B37" s="127" t="s">
        <v>314</v>
      </c>
      <c r="C37" s="741" t="s">
        <v>180</v>
      </c>
      <c r="D37" s="741"/>
      <c r="E37" s="741"/>
      <c r="F37" s="741"/>
      <c r="G37" s="741"/>
      <c r="H37" s="741"/>
      <c r="I37" s="741"/>
      <c r="J37" s="741"/>
      <c r="K37" s="741"/>
    </row>
    <row r="38" spans="2:11" s="10" customFormat="1" ht="15.75" customHeight="1">
      <c r="B38" s="127" t="s">
        <v>314</v>
      </c>
      <c r="C38" s="721" t="s">
        <v>181</v>
      </c>
      <c r="D38" s="721"/>
      <c r="E38" s="721"/>
      <c r="F38" s="721"/>
      <c r="G38" s="721"/>
      <c r="H38" s="721"/>
      <c r="I38" s="721"/>
      <c r="J38" s="721"/>
      <c r="K38" s="721"/>
    </row>
    <row r="39" spans="2:11" s="50" customFormat="1" ht="15.75" customHeight="1">
      <c r="B39" s="127" t="s">
        <v>314</v>
      </c>
      <c r="C39" s="722" t="s">
        <v>182</v>
      </c>
      <c r="D39" s="722"/>
      <c r="E39" s="722"/>
      <c r="F39" s="722"/>
      <c r="G39" s="722"/>
      <c r="H39" s="722"/>
      <c r="I39" s="722"/>
      <c r="J39" s="722"/>
      <c r="K39" s="722"/>
    </row>
    <row r="40" spans="2:11" s="50" customFormat="1" ht="14.25" customHeight="1">
      <c r="B40" s="127" t="s">
        <v>314</v>
      </c>
      <c r="C40" s="722" t="s">
        <v>36</v>
      </c>
      <c r="D40" s="722"/>
      <c r="E40" s="722"/>
      <c r="F40" s="722"/>
      <c r="G40" s="722"/>
      <c r="H40" s="722"/>
      <c r="I40" s="722"/>
      <c r="J40" s="722"/>
      <c r="K40" s="722"/>
    </row>
    <row r="41" spans="2:11" s="10" customFormat="1" ht="10.5" customHeight="1">
      <c r="B41" s="127"/>
      <c r="C41" s="721"/>
      <c r="D41" s="721"/>
      <c r="E41" s="721"/>
      <c r="F41" s="721"/>
      <c r="G41" s="721"/>
      <c r="H41" s="721"/>
      <c r="I41" s="721"/>
      <c r="J41" s="721"/>
      <c r="K41" s="721"/>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4" t="s">
        <v>627</v>
      </c>
      <c r="D44" s="681"/>
      <c r="E44" s="681"/>
      <c r="F44" s="681"/>
      <c r="G44" s="681"/>
      <c r="H44" s="681"/>
      <c r="I44" s="681"/>
      <c r="J44" s="681"/>
      <c r="K44" s="681"/>
    </row>
    <row r="45" spans="2:11" s="41" customFormat="1" ht="12.75">
      <c r="B45" s="132" t="s">
        <v>5</v>
      </c>
      <c r="C45" s="664" t="s">
        <v>6</v>
      </c>
      <c r="D45" s="664"/>
      <c r="E45" s="664"/>
      <c r="F45" s="664"/>
      <c r="G45" s="664"/>
      <c r="H45" s="664"/>
      <c r="I45" s="664"/>
      <c r="J45" s="664"/>
      <c r="K45" s="664"/>
    </row>
    <row r="46" spans="2:11" s="41" customFormat="1" ht="14.25" customHeight="1">
      <c r="B46" s="132" t="s">
        <v>5</v>
      </c>
      <c r="C46" s="664" t="s">
        <v>7</v>
      </c>
      <c r="D46" s="128"/>
      <c r="E46" s="128"/>
      <c r="F46" s="128"/>
      <c r="G46" s="128"/>
      <c r="H46" s="128"/>
      <c r="I46" s="128"/>
      <c r="J46" s="128"/>
      <c r="K46" s="128"/>
    </row>
    <row r="47" spans="2:11" s="41" customFormat="1" ht="30" customHeight="1">
      <c r="B47" s="132" t="s">
        <v>5</v>
      </c>
      <c r="C47" s="744" t="s">
        <v>603</v>
      </c>
      <c r="D47" s="744"/>
      <c r="E47" s="744"/>
      <c r="F47" s="744"/>
      <c r="G47" s="744"/>
      <c r="H47" s="744"/>
      <c r="I47" s="744"/>
      <c r="J47" s="744"/>
      <c r="K47" s="744"/>
    </row>
    <row r="48" spans="2:11" s="37" customFormat="1" ht="9.75" customHeight="1">
      <c r="B48" s="133"/>
      <c r="C48" s="134"/>
      <c r="D48" s="135"/>
      <c r="E48" s="135"/>
      <c r="F48" s="135"/>
      <c r="G48" s="135"/>
      <c r="H48" s="135"/>
      <c r="I48" s="135"/>
      <c r="J48" s="135"/>
      <c r="K48" s="135"/>
    </row>
    <row r="49" spans="2:11" s="17" customFormat="1" ht="15.75" customHeight="1">
      <c r="B49" s="742" t="s">
        <v>487</v>
      </c>
      <c r="C49" s="743"/>
      <c r="D49" s="743"/>
      <c r="E49" s="743"/>
      <c r="F49" s="743"/>
      <c r="G49" s="743"/>
      <c r="H49" s="743"/>
      <c r="I49" s="743"/>
      <c r="J49" s="743"/>
      <c r="K49" s="743"/>
    </row>
    <row r="50" spans="2:11" ht="7.5" customHeight="1">
      <c r="B50" s="11"/>
      <c r="C50" s="11"/>
      <c r="D50" s="136"/>
      <c r="E50" s="136"/>
      <c r="F50" s="11"/>
      <c r="G50" s="136"/>
      <c r="H50" s="136"/>
      <c r="I50" s="136"/>
      <c r="J50" s="136"/>
      <c r="K50" s="125"/>
    </row>
    <row r="51" spans="2:12" ht="24" customHeight="1">
      <c r="B51" s="725" t="s">
        <v>178</v>
      </c>
      <c r="C51" s="726"/>
      <c r="D51" s="726"/>
      <c r="E51" s="726"/>
      <c r="F51" s="726"/>
      <c r="G51" s="726"/>
      <c r="H51" s="726"/>
      <c r="I51" s="726"/>
      <c r="J51" s="726"/>
      <c r="K51" s="727"/>
      <c r="L51" s="22"/>
    </row>
    <row r="52" spans="2:11" ht="81" customHeight="1">
      <c r="B52" s="728" t="s">
        <v>245</v>
      </c>
      <c r="C52" s="729"/>
      <c r="D52" s="729"/>
      <c r="E52" s="729"/>
      <c r="F52" s="729"/>
      <c r="G52" s="729"/>
      <c r="H52" s="729"/>
      <c r="I52" s="729"/>
      <c r="J52" s="729"/>
      <c r="K52" s="730"/>
    </row>
    <row r="53" spans="2:11" ht="24" customHeight="1">
      <c r="B53" s="725" t="s">
        <v>86</v>
      </c>
      <c r="C53" s="726"/>
      <c r="D53" s="726"/>
      <c r="E53" s="726"/>
      <c r="F53" s="726"/>
      <c r="G53" s="726"/>
      <c r="H53" s="726"/>
      <c r="I53" s="726"/>
      <c r="J53" s="726"/>
      <c r="K53" s="727"/>
    </row>
    <row r="54" spans="2:11" ht="79.5" customHeight="1">
      <c r="B54" s="728" t="s">
        <v>212</v>
      </c>
      <c r="C54" s="729"/>
      <c r="D54" s="729"/>
      <c r="E54" s="729"/>
      <c r="F54" s="729"/>
      <c r="G54" s="729"/>
      <c r="H54" s="729"/>
      <c r="I54" s="729"/>
      <c r="J54" s="729"/>
      <c r="K54" s="730"/>
    </row>
    <row r="55" spans="2:11" ht="24" customHeight="1">
      <c r="B55" s="725" t="s">
        <v>197</v>
      </c>
      <c r="C55" s="726"/>
      <c r="D55" s="726"/>
      <c r="E55" s="726"/>
      <c r="F55" s="726"/>
      <c r="G55" s="726"/>
      <c r="H55" s="726"/>
      <c r="I55" s="726"/>
      <c r="J55" s="726"/>
      <c r="K55" s="727"/>
    </row>
    <row r="56" spans="2:11" ht="52.5" customHeight="1">
      <c r="B56" s="728" t="s">
        <v>103</v>
      </c>
      <c r="C56" s="729"/>
      <c r="D56" s="729"/>
      <c r="E56" s="729"/>
      <c r="F56" s="729"/>
      <c r="G56" s="729"/>
      <c r="H56" s="729"/>
      <c r="I56" s="729"/>
      <c r="J56" s="729"/>
      <c r="K56" s="730"/>
    </row>
    <row r="57" spans="2:11" ht="24" customHeight="1">
      <c r="B57" s="725" t="s">
        <v>123</v>
      </c>
      <c r="C57" s="726"/>
      <c r="D57" s="726"/>
      <c r="E57" s="726"/>
      <c r="F57" s="726"/>
      <c r="G57" s="726"/>
      <c r="H57" s="726"/>
      <c r="I57" s="726"/>
      <c r="J57" s="726"/>
      <c r="K57" s="727"/>
    </row>
    <row r="58" spans="2:11" ht="51.75" customHeight="1">
      <c r="B58" s="728" t="s">
        <v>204</v>
      </c>
      <c r="C58" s="729"/>
      <c r="D58" s="729"/>
      <c r="E58" s="729"/>
      <c r="F58" s="729"/>
      <c r="G58" s="729"/>
      <c r="H58" s="729"/>
      <c r="I58" s="729"/>
      <c r="J58" s="729"/>
      <c r="K58" s="730"/>
    </row>
    <row r="59" spans="2:11" ht="24" customHeight="1">
      <c r="B59" s="725" t="s">
        <v>124</v>
      </c>
      <c r="C59" s="726"/>
      <c r="D59" s="726"/>
      <c r="E59" s="726"/>
      <c r="F59" s="726"/>
      <c r="G59" s="726"/>
      <c r="H59" s="726"/>
      <c r="I59" s="726"/>
      <c r="J59" s="726"/>
      <c r="K59" s="727"/>
    </row>
    <row r="60" spans="2:11" ht="27" customHeight="1">
      <c r="B60" s="728" t="s">
        <v>10</v>
      </c>
      <c r="C60" s="729"/>
      <c r="D60" s="729"/>
      <c r="E60" s="729"/>
      <c r="F60" s="729"/>
      <c r="G60" s="729"/>
      <c r="H60" s="729"/>
      <c r="I60" s="729"/>
      <c r="J60" s="729"/>
      <c r="K60" s="730"/>
    </row>
    <row r="61" spans="2:11" s="17" customFormat="1" ht="24" customHeight="1">
      <c r="B61" s="725" t="s">
        <v>198</v>
      </c>
      <c r="C61" s="726"/>
      <c r="D61" s="726"/>
      <c r="E61" s="726"/>
      <c r="F61" s="726"/>
      <c r="G61" s="726"/>
      <c r="H61" s="726"/>
      <c r="I61" s="726"/>
      <c r="J61" s="726"/>
      <c r="K61" s="727"/>
    </row>
    <row r="62" spans="2:11" ht="52.5" customHeight="1">
      <c r="B62" s="728" t="s">
        <v>104</v>
      </c>
      <c r="C62" s="729"/>
      <c r="D62" s="729"/>
      <c r="E62" s="729"/>
      <c r="F62" s="729"/>
      <c r="G62" s="729"/>
      <c r="H62" s="729"/>
      <c r="I62" s="729"/>
      <c r="J62" s="729"/>
      <c r="K62" s="730"/>
    </row>
    <row r="63" spans="2:11" ht="24" customHeight="1">
      <c r="B63" s="128"/>
      <c r="C63" s="128"/>
      <c r="D63" s="128"/>
      <c r="E63" s="128"/>
      <c r="F63" s="128"/>
      <c r="G63" s="128"/>
      <c r="H63" s="128"/>
      <c r="I63" s="128"/>
      <c r="J63" s="128"/>
      <c r="K63" s="128"/>
    </row>
    <row r="64" spans="2:11" ht="15.75" customHeight="1">
      <c r="B64" s="740" t="s">
        <v>269</v>
      </c>
      <c r="C64" s="740"/>
      <c r="D64" s="740"/>
      <c r="E64" s="740"/>
      <c r="F64" s="740"/>
      <c r="G64" s="740"/>
      <c r="H64" s="740"/>
      <c r="I64" s="740"/>
      <c r="J64" s="740"/>
      <c r="K64" s="740"/>
    </row>
    <row r="65" spans="2:11" ht="24" customHeight="1">
      <c r="B65" s="10"/>
      <c r="C65" s="10"/>
      <c r="D65" s="10"/>
      <c r="E65" s="10"/>
      <c r="F65" s="10"/>
      <c r="G65" s="10"/>
      <c r="H65" s="10"/>
      <c r="I65" s="10"/>
      <c r="J65" s="10"/>
      <c r="K65" s="10"/>
    </row>
    <row r="66" spans="2:11" ht="24" customHeight="1">
      <c r="B66" s="10"/>
      <c r="C66" s="644" t="s">
        <v>271</v>
      </c>
      <c r="D66" s="648" t="s">
        <v>283</v>
      </c>
      <c r="E66" s="646" t="s">
        <v>284</v>
      </c>
      <c r="F66" s="10"/>
      <c r="G66" s="10"/>
      <c r="H66" s="10"/>
      <c r="I66" s="10"/>
      <c r="J66" s="10"/>
      <c r="K66" s="10"/>
    </row>
    <row r="67" spans="3:5" s="10" customFormat="1" ht="12.75">
      <c r="C67" s="645" t="s">
        <v>265</v>
      </c>
      <c r="D67" s="649" t="s">
        <v>267</v>
      </c>
      <c r="E67" s="647">
        <v>4.54609</v>
      </c>
    </row>
    <row r="68" spans="2:11" ht="12.75">
      <c r="B68" s="10"/>
      <c r="C68" s="645" t="s">
        <v>266</v>
      </c>
      <c r="D68" s="649" t="s">
        <v>267</v>
      </c>
      <c r="E68" s="647">
        <v>3.785411784</v>
      </c>
      <c r="F68" s="10"/>
      <c r="G68" s="10"/>
      <c r="H68" s="10"/>
      <c r="I68" s="10"/>
      <c r="J68" s="10"/>
      <c r="K68" s="10"/>
    </row>
    <row r="69" spans="2:11" ht="14.25">
      <c r="B69" s="10"/>
      <c r="C69" s="645" t="s">
        <v>270</v>
      </c>
      <c r="D69" s="649" t="s">
        <v>267</v>
      </c>
      <c r="E69" s="647">
        <v>1000</v>
      </c>
      <c r="F69" s="10"/>
      <c r="G69" s="10"/>
      <c r="H69" s="10"/>
      <c r="I69" s="10"/>
      <c r="J69" s="10"/>
      <c r="K69" s="10"/>
    </row>
    <row r="70" spans="2:11" ht="14.25">
      <c r="B70" s="10"/>
      <c r="C70" s="645" t="s">
        <v>71</v>
      </c>
      <c r="D70" s="650" t="s">
        <v>270</v>
      </c>
      <c r="E70" s="647">
        <v>0.001</v>
      </c>
      <c r="F70" s="10"/>
      <c r="G70" s="10"/>
      <c r="H70" s="10"/>
      <c r="I70" s="10"/>
      <c r="J70" s="10"/>
      <c r="K70" s="10"/>
    </row>
    <row r="71" spans="2:11" ht="12.75">
      <c r="B71" s="10"/>
      <c r="C71" s="645" t="s">
        <v>268</v>
      </c>
      <c r="D71" s="649" t="s">
        <v>267</v>
      </c>
      <c r="E71" s="647">
        <v>0.001</v>
      </c>
      <c r="F71" s="10"/>
      <c r="G71" s="10"/>
      <c r="H71" s="10"/>
      <c r="I71" s="10"/>
      <c r="J71" s="10"/>
      <c r="K71" s="10"/>
    </row>
  </sheetData>
  <sheetProtection sheet="1"/>
  <mergeCells count="41">
    <mergeCell ref="B22:K22"/>
    <mergeCell ref="B30:K30"/>
    <mergeCell ref="B13:K13"/>
    <mergeCell ref="B15:K15"/>
    <mergeCell ref="B9:K9"/>
    <mergeCell ref="B11:K11"/>
    <mergeCell ref="B64:K64"/>
    <mergeCell ref="C37:K37"/>
    <mergeCell ref="B55:K55"/>
    <mergeCell ref="B57:K57"/>
    <mergeCell ref="B54:K54"/>
    <mergeCell ref="B49:K49"/>
    <mergeCell ref="C47:K47"/>
    <mergeCell ref="C39:K39"/>
    <mergeCell ref="B52:K52"/>
    <mergeCell ref="C41:K41"/>
    <mergeCell ref="B3:K3"/>
    <mergeCell ref="B28:K28"/>
    <mergeCell ref="B17:K17"/>
    <mergeCell ref="B21:K21"/>
    <mergeCell ref="B5:K5"/>
    <mergeCell ref="B7:K7"/>
    <mergeCell ref="B24:K24"/>
    <mergeCell ref="B26:K26"/>
    <mergeCell ref="B25:K25"/>
    <mergeCell ref="B19:K19"/>
    <mergeCell ref="B59:K59"/>
    <mergeCell ref="C35:K35"/>
    <mergeCell ref="B62:K62"/>
    <mergeCell ref="B56:K56"/>
    <mergeCell ref="B58:K58"/>
    <mergeCell ref="B61:K61"/>
    <mergeCell ref="B60:K60"/>
    <mergeCell ref="B53:K53"/>
    <mergeCell ref="B51:K51"/>
    <mergeCell ref="B32:K32"/>
    <mergeCell ref="C34:K34"/>
    <mergeCell ref="C38:K38"/>
    <mergeCell ref="C40:K40"/>
    <mergeCell ref="C33:K33"/>
    <mergeCell ref="C36:K36"/>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75">
      <c r="B1" s="27" t="s">
        <v>294</v>
      </c>
    </row>
    <row r="2" ht="7.5" customHeight="1"/>
    <row r="3" spans="2:4" ht="18">
      <c r="B3" s="749" t="s">
        <v>306</v>
      </c>
      <c r="C3" s="749"/>
      <c r="D3" s="749"/>
    </row>
    <row r="4" spans="2:4" ht="12.75" customHeight="1">
      <c r="B4" s="97"/>
      <c r="C4" s="137"/>
      <c r="D4" s="138"/>
    </row>
    <row r="5" spans="2:4" ht="15.75">
      <c r="B5" s="750" t="s">
        <v>131</v>
      </c>
      <c r="C5" s="750"/>
      <c r="D5" s="750"/>
    </row>
    <row r="6" spans="2:7" s="11" customFormat="1" ht="40.5" customHeight="1" thickBot="1">
      <c r="B6" s="752" t="s">
        <v>560</v>
      </c>
      <c r="C6" s="753"/>
      <c r="D6" s="753"/>
      <c r="E6" s="98"/>
      <c r="F6" s="99"/>
      <c r="G6" s="99"/>
    </row>
    <row r="7" spans="2:4" ht="40.5" customHeight="1">
      <c r="B7" s="139" t="s">
        <v>501</v>
      </c>
      <c r="C7" s="140" t="s">
        <v>261</v>
      </c>
      <c r="D7" s="141" t="s">
        <v>72</v>
      </c>
    </row>
    <row r="8" spans="2:7" s="11" customFormat="1" ht="27.75" customHeight="1">
      <c r="B8" s="142" t="s">
        <v>1</v>
      </c>
      <c r="C8" s="143" t="s">
        <v>500</v>
      </c>
      <c r="D8" s="144" t="s">
        <v>246</v>
      </c>
      <c r="E8" s="100"/>
      <c r="F8" s="99"/>
      <c r="G8" s="99"/>
    </row>
    <row r="9" spans="2:7" s="11" customFormat="1" ht="108.75" customHeight="1">
      <c r="B9" s="142" t="s">
        <v>587</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5" t="s">
        <v>523</v>
      </c>
      <c r="C11" s="143" t="s">
        <v>524</v>
      </c>
      <c r="D11" s="144" t="s">
        <v>525</v>
      </c>
      <c r="E11" s="100"/>
      <c r="F11" s="99"/>
      <c r="G11" s="99"/>
    </row>
    <row r="12" spans="2:7" s="11" customFormat="1" ht="54" customHeight="1">
      <c r="B12" s="142" t="s">
        <v>504</v>
      </c>
      <c r="C12" s="143" t="s">
        <v>260</v>
      </c>
      <c r="D12" s="144" t="s">
        <v>0</v>
      </c>
      <c r="E12" s="100"/>
      <c r="F12" s="99"/>
      <c r="G12" s="99"/>
    </row>
    <row r="13" spans="2:7" s="11" customFormat="1" ht="54" customHeight="1">
      <c r="B13" s="154" t="s">
        <v>526</v>
      </c>
      <c r="C13" s="155" t="s">
        <v>527</v>
      </c>
      <c r="D13" s="626" t="s">
        <v>528</v>
      </c>
      <c r="E13" s="100"/>
      <c r="F13" s="99"/>
      <c r="G13" s="99"/>
    </row>
    <row r="14" spans="2:7" s="11" customFormat="1" ht="26.25" customHeight="1">
      <c r="B14" s="153" t="s">
        <v>532</v>
      </c>
      <c r="C14" s="143" t="s">
        <v>549</v>
      </c>
      <c r="D14" s="627" t="s">
        <v>550</v>
      </c>
      <c r="E14" s="100"/>
      <c r="F14" s="99"/>
      <c r="G14" s="99"/>
    </row>
    <row r="15" spans="2:7" s="11" customFormat="1" ht="54" customHeight="1" thickBot="1">
      <c r="B15" s="628" t="s">
        <v>529</v>
      </c>
      <c r="C15" s="156" t="s">
        <v>530</v>
      </c>
      <c r="D15" s="629" t="s">
        <v>531</v>
      </c>
      <c r="E15" s="100"/>
      <c r="F15" s="99"/>
      <c r="G15" s="99"/>
    </row>
    <row r="16" spans="2:4" ht="21.75" customHeight="1">
      <c r="B16" s="146"/>
      <c r="C16" s="137"/>
      <c r="D16" s="138"/>
    </row>
    <row r="17" spans="2:4" ht="18" customHeight="1" thickBot="1">
      <c r="B17" s="751" t="s">
        <v>304</v>
      </c>
      <c r="C17" s="751"/>
      <c r="D17" s="751"/>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484</v>
      </c>
      <c r="D20" s="152" t="s">
        <v>242</v>
      </c>
      <c r="E20" s="98">
        <v>2</v>
      </c>
      <c r="G20" s="99">
        <v>28</v>
      </c>
    </row>
    <row r="21" spans="2:7" ht="56.25" customHeight="1">
      <c r="B21" s="150" t="s">
        <v>28</v>
      </c>
      <c r="C21" s="143" t="s">
        <v>485</v>
      </c>
      <c r="D21" s="151" t="s">
        <v>635</v>
      </c>
      <c r="E21" s="98">
        <v>3</v>
      </c>
      <c r="G21" s="99">
        <v>26</v>
      </c>
    </row>
    <row r="22" spans="2:7" ht="39" customHeight="1">
      <c r="B22" s="150" t="s">
        <v>29</v>
      </c>
      <c r="C22" s="143" t="s">
        <v>205</v>
      </c>
      <c r="D22" s="151" t="s">
        <v>636</v>
      </c>
      <c r="E22" s="98">
        <v>4</v>
      </c>
      <c r="G22" s="99">
        <v>19</v>
      </c>
    </row>
    <row r="23" spans="2:7" ht="27" customHeight="1">
      <c r="B23" s="150" t="s">
        <v>30</v>
      </c>
      <c r="C23" s="143" t="s">
        <v>502</v>
      </c>
      <c r="D23" s="152" t="s">
        <v>191</v>
      </c>
      <c r="E23" s="98">
        <v>5</v>
      </c>
      <c r="G23" s="99">
        <v>20</v>
      </c>
    </row>
    <row r="24" spans="2:7" ht="40.5" customHeight="1">
      <c r="B24" s="150" t="s">
        <v>31</v>
      </c>
      <c r="C24" s="143" t="s">
        <v>206</v>
      </c>
      <c r="D24" s="151" t="s">
        <v>637</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638</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5" t="s">
        <v>639</v>
      </c>
      <c r="E29" s="98">
        <v>22</v>
      </c>
      <c r="G29" s="99" t="s">
        <v>172</v>
      </c>
    </row>
    <row r="30" spans="2:7" s="11" customFormat="1" ht="64.5" customHeight="1">
      <c r="B30" s="150" t="s">
        <v>79</v>
      </c>
      <c r="C30" s="143" t="s">
        <v>25</v>
      </c>
      <c r="D30" s="665" t="s">
        <v>640</v>
      </c>
      <c r="E30" s="98"/>
      <c r="F30" s="99"/>
      <c r="G30" s="99"/>
    </row>
    <row r="31" spans="2:5" ht="21" customHeight="1">
      <c r="B31" s="153" t="s">
        <v>202</v>
      </c>
      <c r="C31" s="143" t="s">
        <v>201</v>
      </c>
      <c r="D31" s="665" t="s">
        <v>633</v>
      </c>
      <c r="E31" s="98">
        <v>9</v>
      </c>
    </row>
    <row r="32" spans="2:7" s="11" customFormat="1" ht="15.75" customHeight="1">
      <c r="B32" s="150" t="s">
        <v>32</v>
      </c>
      <c r="C32" s="143" t="s">
        <v>213</v>
      </c>
      <c r="D32" s="665" t="s">
        <v>214</v>
      </c>
      <c r="E32" s="98"/>
      <c r="F32" s="99"/>
      <c r="G32" s="99"/>
    </row>
    <row r="33" spans="2:7" s="11" customFormat="1" ht="57" customHeight="1">
      <c r="B33" s="663" t="s">
        <v>203</v>
      </c>
      <c r="C33" s="662" t="s">
        <v>641</v>
      </c>
      <c r="D33" s="692" t="s">
        <v>642</v>
      </c>
      <c r="E33" s="98"/>
      <c r="F33" s="99"/>
      <c r="G33" s="99"/>
    </row>
    <row r="34" spans="2:7" s="11" customFormat="1" ht="25.5">
      <c r="B34" s="663" t="s">
        <v>215</v>
      </c>
      <c r="C34" s="662" t="s">
        <v>605</v>
      </c>
      <c r="D34" s="692" t="s">
        <v>630</v>
      </c>
      <c r="E34" s="98"/>
      <c r="F34" s="99"/>
      <c r="G34" s="99"/>
    </row>
    <row r="35" spans="2:7" s="11" customFormat="1" ht="12.75">
      <c r="B35" s="663" t="s">
        <v>281</v>
      </c>
      <c r="C35" s="662" t="s">
        <v>614</v>
      </c>
      <c r="D35" s="692" t="s">
        <v>631</v>
      </c>
      <c r="E35" s="98"/>
      <c r="F35" s="99"/>
      <c r="G35" s="99"/>
    </row>
    <row r="36" spans="2:7" s="11" customFormat="1" ht="65.25" customHeight="1">
      <c r="B36" s="153" t="s">
        <v>282</v>
      </c>
      <c r="C36" s="666" t="s">
        <v>93</v>
      </c>
      <c r="D36" s="152" t="s">
        <v>134</v>
      </c>
      <c r="E36" s="98">
        <v>25</v>
      </c>
      <c r="F36" s="99"/>
      <c r="G36" s="99"/>
    </row>
    <row r="37" spans="2:7" s="11" customFormat="1" ht="30" customHeight="1">
      <c r="B37" s="153" t="s">
        <v>615</v>
      </c>
      <c r="C37" s="666" t="s">
        <v>94</v>
      </c>
      <c r="D37" s="152" t="s">
        <v>462</v>
      </c>
      <c r="E37" s="98"/>
      <c r="F37" s="99"/>
      <c r="G37" s="99"/>
    </row>
    <row r="38" spans="2:7" s="11" customFormat="1" ht="42" customHeight="1">
      <c r="B38" s="153" t="s">
        <v>216</v>
      </c>
      <c r="C38" s="666" t="s">
        <v>95</v>
      </c>
      <c r="D38" s="152" t="s">
        <v>463</v>
      </c>
      <c r="E38" s="98"/>
      <c r="F38" s="99"/>
      <c r="G38" s="99"/>
    </row>
    <row r="39" spans="2:7" s="11" customFormat="1" ht="33.75" customHeight="1">
      <c r="B39" s="153" t="s">
        <v>616</v>
      </c>
      <c r="C39" s="143" t="s">
        <v>588</v>
      </c>
      <c r="D39" s="152" t="s">
        <v>4</v>
      </c>
      <c r="E39" s="98"/>
      <c r="F39" s="99"/>
      <c r="G39" s="99"/>
    </row>
    <row r="40" spans="2:7" s="11" customFormat="1" ht="42" customHeight="1">
      <c r="B40" s="153" t="s">
        <v>226</v>
      </c>
      <c r="C40" s="666" t="s">
        <v>533</v>
      </c>
      <c r="D40" s="152" t="s">
        <v>542</v>
      </c>
      <c r="E40" s="98"/>
      <c r="F40" s="99"/>
      <c r="G40" s="99"/>
    </row>
    <row r="41" spans="2:7" s="11" customFormat="1" ht="42" customHeight="1">
      <c r="B41" s="153" t="s">
        <v>227</v>
      </c>
      <c r="C41" s="666" t="s">
        <v>96</v>
      </c>
      <c r="D41" s="152" t="s">
        <v>464</v>
      </c>
      <c r="E41" s="98"/>
      <c r="F41" s="99"/>
      <c r="G41" s="99"/>
    </row>
    <row r="42" spans="2:7" s="11" customFormat="1" ht="42" customHeight="1">
      <c r="B42" s="153" t="s">
        <v>228</v>
      </c>
      <c r="C42" s="666" t="s">
        <v>534</v>
      </c>
      <c r="D42" s="152" t="s">
        <v>551</v>
      </c>
      <c r="E42" s="98"/>
      <c r="F42" s="99"/>
      <c r="G42" s="99"/>
    </row>
    <row r="43" spans="2:7" s="11" customFormat="1" ht="42" customHeight="1">
      <c r="B43" s="153" t="s">
        <v>229</v>
      </c>
      <c r="C43" s="666" t="s">
        <v>562</v>
      </c>
      <c r="D43" s="152" t="s">
        <v>105</v>
      </c>
      <c r="E43" s="98"/>
      <c r="F43" s="99"/>
      <c r="G43" s="99"/>
    </row>
    <row r="44" spans="2:7" s="11" customFormat="1" ht="42" customHeight="1">
      <c r="B44" s="153" t="s">
        <v>230</v>
      </c>
      <c r="C44" s="666" t="s">
        <v>535</v>
      </c>
      <c r="D44" s="152" t="s">
        <v>543</v>
      </c>
      <c r="E44" s="98"/>
      <c r="F44" s="99"/>
      <c r="G44" s="99"/>
    </row>
    <row r="45" spans="2:7" s="11" customFormat="1" ht="38.25" customHeight="1">
      <c r="B45" s="153" t="s">
        <v>617</v>
      </c>
      <c r="C45" s="666" t="s">
        <v>97</v>
      </c>
      <c r="D45" s="152" t="s">
        <v>106</v>
      </c>
      <c r="E45" s="98"/>
      <c r="F45" s="99"/>
      <c r="G45" s="99"/>
    </row>
    <row r="46" spans="2:7" s="11" customFormat="1" ht="20.25" customHeight="1">
      <c r="B46" s="153" t="s">
        <v>231</v>
      </c>
      <c r="C46" s="143" t="s">
        <v>286</v>
      </c>
      <c r="D46" s="152" t="s">
        <v>440</v>
      </c>
      <c r="E46" s="98"/>
      <c r="F46" s="99"/>
      <c r="G46" s="99"/>
    </row>
    <row r="47" spans="2:7" s="11" customFormat="1" ht="43.5" customHeight="1">
      <c r="B47" s="153" t="s">
        <v>233</v>
      </c>
      <c r="C47" s="143" t="s">
        <v>503</v>
      </c>
      <c r="D47" s="152" t="s">
        <v>98</v>
      </c>
      <c r="E47" s="98"/>
      <c r="F47" s="99"/>
      <c r="G47" s="99"/>
    </row>
    <row r="48" spans="2:7" s="11" customFormat="1" ht="25.5">
      <c r="B48" s="153" t="s">
        <v>186</v>
      </c>
      <c r="C48" s="143" t="s">
        <v>497</v>
      </c>
      <c r="D48" s="152" t="s">
        <v>99</v>
      </c>
      <c r="E48" s="98"/>
      <c r="F48" s="99"/>
      <c r="G48" s="99"/>
    </row>
    <row r="49" spans="2:7" s="11" customFormat="1" ht="25.5">
      <c r="B49" s="153" t="s">
        <v>618</v>
      </c>
      <c r="C49" s="143" t="s">
        <v>498</v>
      </c>
      <c r="D49" s="152" t="s">
        <v>111</v>
      </c>
      <c r="E49" s="98"/>
      <c r="F49" s="99"/>
      <c r="G49" s="99"/>
    </row>
    <row r="50" spans="2:7" s="11" customFormat="1" ht="25.5">
      <c r="B50" s="693" t="s">
        <v>187</v>
      </c>
      <c r="C50" s="662" t="s">
        <v>171</v>
      </c>
      <c r="D50" s="694" t="s">
        <v>643</v>
      </c>
      <c r="E50" s="98"/>
      <c r="F50" s="99"/>
      <c r="G50" s="99"/>
    </row>
    <row r="51" spans="2:7" s="11" customFormat="1" ht="28.5" customHeight="1">
      <c r="B51" s="695" t="s">
        <v>629</v>
      </c>
      <c r="C51" s="695" t="s">
        <v>69</v>
      </c>
      <c r="D51" s="696" t="s">
        <v>644</v>
      </c>
      <c r="E51" s="98"/>
      <c r="F51" s="99"/>
      <c r="G51" s="99"/>
    </row>
    <row r="52" spans="2:7" s="11" customFormat="1" ht="42" customHeight="1">
      <c r="B52" s="153" t="s">
        <v>35</v>
      </c>
      <c r="C52" s="143" t="s">
        <v>243</v>
      </c>
      <c r="D52" s="152" t="s">
        <v>232</v>
      </c>
      <c r="E52" s="98"/>
      <c r="F52" s="99"/>
      <c r="G52" s="99"/>
    </row>
    <row r="53" spans="2:7" s="11" customFormat="1" ht="42" customHeight="1">
      <c r="B53" s="153" t="s">
        <v>619</v>
      </c>
      <c r="C53" s="666" t="s">
        <v>234</v>
      </c>
      <c r="D53" s="152" t="s">
        <v>107</v>
      </c>
      <c r="E53" s="98"/>
      <c r="F53" s="99"/>
      <c r="G53" s="99"/>
    </row>
    <row r="54" spans="2:7" s="11" customFormat="1" ht="38.25">
      <c r="B54" s="667" t="s">
        <v>544</v>
      </c>
      <c r="C54" s="668" t="s">
        <v>112</v>
      </c>
      <c r="D54" s="669" t="s">
        <v>113</v>
      </c>
      <c r="E54" s="98"/>
      <c r="F54" s="99"/>
      <c r="G54" s="99"/>
    </row>
    <row r="55" spans="2:7" s="11" customFormat="1" ht="39" customHeight="1">
      <c r="B55" s="154" t="s">
        <v>647</v>
      </c>
      <c r="C55" s="670" t="s">
        <v>545</v>
      </c>
      <c r="D55" s="152" t="s">
        <v>564</v>
      </c>
      <c r="E55" s="98"/>
      <c r="F55" s="99"/>
      <c r="G55" s="99"/>
    </row>
    <row r="56" spans="2:7" s="11" customFormat="1" ht="33.75" customHeight="1">
      <c r="B56" s="154" t="s">
        <v>536</v>
      </c>
      <c r="C56" s="670" t="s">
        <v>114</v>
      </c>
      <c r="D56" s="152" t="s">
        <v>188</v>
      </c>
      <c r="E56" s="98"/>
      <c r="F56" s="99"/>
      <c r="G56" s="99"/>
    </row>
    <row r="57" spans="2:7" s="11" customFormat="1" ht="45" customHeight="1">
      <c r="B57" s="154" t="s">
        <v>547</v>
      </c>
      <c r="C57" s="670" t="s">
        <v>546</v>
      </c>
      <c r="D57" s="152" t="s">
        <v>548</v>
      </c>
      <c r="E57" s="98"/>
      <c r="F57" s="99"/>
      <c r="G57" s="99"/>
    </row>
    <row r="58" spans="2:7" s="11" customFormat="1" ht="42" customHeight="1">
      <c r="B58" s="153" t="s">
        <v>537</v>
      </c>
      <c r="C58" s="666" t="s">
        <v>115</v>
      </c>
      <c r="D58" s="152" t="s">
        <v>108</v>
      </c>
      <c r="E58" s="98"/>
      <c r="F58" s="99"/>
      <c r="G58" s="99"/>
    </row>
    <row r="59" spans="2:7" s="11" customFormat="1" ht="36.75" customHeight="1">
      <c r="B59" s="154" t="s">
        <v>620</v>
      </c>
      <c r="C59" s="670" t="s">
        <v>565</v>
      </c>
      <c r="D59" s="152" t="s">
        <v>597</v>
      </c>
      <c r="E59" s="98"/>
      <c r="F59" s="99"/>
      <c r="G59" s="99"/>
    </row>
    <row r="60" spans="2:7" s="11" customFormat="1" ht="35.25" customHeight="1">
      <c r="B60" s="150" t="s">
        <v>621</v>
      </c>
      <c r="C60" s="666" t="s">
        <v>116</v>
      </c>
      <c r="D60" s="152" t="s">
        <v>469</v>
      </c>
      <c r="E60" s="98"/>
      <c r="F60" s="99"/>
      <c r="G60" s="99"/>
    </row>
    <row r="61" spans="1:5" ht="29.25" customHeight="1">
      <c r="A61" s="11"/>
      <c r="B61" s="153" t="s">
        <v>235</v>
      </c>
      <c r="C61" s="143" t="s">
        <v>14</v>
      </c>
      <c r="D61" s="152" t="s">
        <v>139</v>
      </c>
      <c r="E61" s="98">
        <v>27</v>
      </c>
    </row>
    <row r="62" spans="1:4" ht="38.25" customHeight="1">
      <c r="A62" s="11"/>
      <c r="B62" s="662" t="s">
        <v>628</v>
      </c>
      <c r="C62" s="662" t="s">
        <v>15</v>
      </c>
      <c r="D62" s="696" t="s">
        <v>645</v>
      </c>
    </row>
    <row r="63" spans="2:7" s="11" customFormat="1" ht="38.25" customHeight="1">
      <c r="B63" s="153" t="s">
        <v>236</v>
      </c>
      <c r="C63" s="143" t="s">
        <v>244</v>
      </c>
      <c r="D63" s="152" t="s">
        <v>193</v>
      </c>
      <c r="E63" s="98">
        <v>30</v>
      </c>
      <c r="F63" s="99"/>
      <c r="G63" s="99"/>
    </row>
    <row r="64" spans="2:7" s="11" customFormat="1" ht="33" customHeight="1">
      <c r="B64" s="153" t="s">
        <v>539</v>
      </c>
      <c r="C64" s="143" t="s">
        <v>17</v>
      </c>
      <c r="D64" s="152" t="s">
        <v>209</v>
      </c>
      <c r="E64" s="98">
        <v>29</v>
      </c>
      <c r="F64" s="99"/>
      <c r="G64" s="99"/>
    </row>
    <row r="65" spans="2:7" s="11" customFormat="1" ht="30" customHeight="1">
      <c r="B65" s="153" t="s">
        <v>540</v>
      </c>
      <c r="C65" s="143" t="s">
        <v>494</v>
      </c>
      <c r="D65" s="152" t="s">
        <v>210</v>
      </c>
      <c r="E65" s="98"/>
      <c r="F65" s="99"/>
      <c r="G65" s="99"/>
    </row>
    <row r="66" spans="2:7" s="11" customFormat="1" ht="30.75" customHeight="1">
      <c r="B66" s="153" t="s">
        <v>541</v>
      </c>
      <c r="C66" s="143" t="s">
        <v>495</v>
      </c>
      <c r="D66" s="152" t="s">
        <v>211</v>
      </c>
      <c r="E66" s="98"/>
      <c r="F66" s="99"/>
      <c r="G66" s="99"/>
    </row>
    <row r="67" spans="2:7" s="11" customFormat="1" ht="51">
      <c r="B67" s="153" t="s">
        <v>247</v>
      </c>
      <c r="C67" s="143" t="s">
        <v>88</v>
      </c>
      <c r="D67" s="665" t="s">
        <v>563</v>
      </c>
      <c r="E67" s="98">
        <v>18</v>
      </c>
      <c r="F67" s="99"/>
      <c r="G67" s="99"/>
    </row>
    <row r="68" spans="2:7" s="11" customFormat="1" ht="30" customHeight="1">
      <c r="B68" s="153" t="s">
        <v>552</v>
      </c>
      <c r="C68" s="666" t="s">
        <v>22</v>
      </c>
      <c r="D68" s="665" t="s">
        <v>248</v>
      </c>
      <c r="E68" s="98"/>
      <c r="F68" s="99"/>
      <c r="G68" s="99"/>
    </row>
    <row r="69" spans="1:7" s="11" customFormat="1" ht="42" customHeight="1">
      <c r="A69" s="2"/>
      <c r="B69" s="153" t="s">
        <v>553</v>
      </c>
      <c r="C69" s="143" t="s">
        <v>184</v>
      </c>
      <c r="D69" s="152" t="s">
        <v>192</v>
      </c>
      <c r="E69" s="98"/>
      <c r="F69" s="99"/>
      <c r="G69" s="99"/>
    </row>
    <row r="70" spans="1:7" s="11" customFormat="1" ht="41.25" customHeight="1">
      <c r="A70" s="2"/>
      <c r="B70" s="153" t="s">
        <v>554</v>
      </c>
      <c r="C70" s="143" t="s">
        <v>185</v>
      </c>
      <c r="D70" s="152" t="s">
        <v>102</v>
      </c>
      <c r="E70" s="98"/>
      <c r="F70" s="99"/>
      <c r="G70" s="99"/>
    </row>
    <row r="71" spans="1:7" s="11" customFormat="1" ht="58.5" customHeight="1">
      <c r="A71" s="2"/>
      <c r="B71" s="153" t="s">
        <v>555</v>
      </c>
      <c r="C71" s="143" t="s">
        <v>128</v>
      </c>
      <c r="D71" s="152" t="s">
        <v>272</v>
      </c>
      <c r="E71" s="98">
        <v>34</v>
      </c>
      <c r="F71" s="99"/>
      <c r="G71" s="99"/>
    </row>
    <row r="72" spans="2:5" ht="56.25" customHeight="1">
      <c r="B72" s="153" t="s">
        <v>556</v>
      </c>
      <c r="C72" s="143" t="s">
        <v>129</v>
      </c>
      <c r="D72" s="152" t="s">
        <v>275</v>
      </c>
      <c r="E72" s="98">
        <v>35</v>
      </c>
    </row>
    <row r="73" spans="2:5" ht="67.5" customHeight="1">
      <c r="B73" s="153" t="s">
        <v>557</v>
      </c>
      <c r="C73" s="143" t="s">
        <v>491</v>
      </c>
      <c r="D73" s="152" t="s">
        <v>183</v>
      </c>
      <c r="E73" s="98">
        <v>53</v>
      </c>
    </row>
    <row r="74" spans="1:5" ht="51.75" customHeight="1">
      <c r="A74" s="104"/>
      <c r="B74" s="153" t="s">
        <v>558</v>
      </c>
      <c r="C74" s="143" t="s">
        <v>255</v>
      </c>
      <c r="D74" s="665" t="s">
        <v>249</v>
      </c>
      <c r="E74" s="98">
        <v>36</v>
      </c>
    </row>
    <row r="75" spans="1:7" s="20" customFormat="1" ht="38.25">
      <c r="A75" s="2"/>
      <c r="B75" s="153" t="s">
        <v>559</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7"/>
      <c r="C80" s="143" t="s">
        <v>256</v>
      </c>
      <c r="D80" s="152" t="s">
        <v>257</v>
      </c>
      <c r="E80" s="98">
        <v>48</v>
      </c>
      <c r="F80" s="99"/>
      <c r="G80" s="99"/>
    </row>
    <row r="81" spans="2:16" ht="39.75" customHeight="1">
      <c r="B81" s="680"/>
      <c r="C81" s="155" t="s">
        <v>177</v>
      </c>
      <c r="D81" s="682" t="s">
        <v>276</v>
      </c>
      <c r="E81" s="98">
        <v>49</v>
      </c>
      <c r="H81" s="11"/>
      <c r="I81" s="11"/>
      <c r="J81" s="11"/>
      <c r="K81" s="11"/>
      <c r="L81" s="11"/>
      <c r="M81" s="11"/>
      <c r="N81" s="11"/>
      <c r="O81" s="11"/>
      <c r="P81" s="11"/>
    </row>
    <row r="82" spans="2:16" ht="25.5" customHeight="1" thickBot="1">
      <c r="B82" s="671"/>
      <c r="C82" s="156" t="s">
        <v>499</v>
      </c>
      <c r="D82" s="683"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7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67" t="s">
        <v>194</v>
      </c>
      <c r="E2" s="767"/>
      <c r="F2" s="767"/>
      <c r="G2" s="767"/>
      <c r="H2" s="767"/>
      <c r="I2" s="767"/>
      <c r="J2" s="767"/>
      <c r="K2" s="767"/>
      <c r="L2" s="767"/>
      <c r="M2" s="767"/>
      <c r="N2" s="767"/>
      <c r="O2" s="767"/>
      <c r="P2" s="767"/>
      <c r="Q2" s="767"/>
      <c r="R2" s="767"/>
      <c r="S2" s="767"/>
      <c r="T2" s="767"/>
      <c r="U2" s="767"/>
      <c r="V2" s="767"/>
      <c r="W2" s="767"/>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75">
      <c r="A3" s="44"/>
      <c r="B3" s="44"/>
      <c r="C3" s="44"/>
      <c r="D3" s="768" t="s">
        <v>253</v>
      </c>
      <c r="E3" s="768"/>
      <c r="F3" s="768"/>
      <c r="G3" s="768"/>
      <c r="H3" s="768"/>
      <c r="I3" s="768"/>
      <c r="J3" s="768"/>
      <c r="K3" s="768"/>
      <c r="L3" s="768"/>
      <c r="M3" s="768"/>
      <c r="N3" s="768"/>
      <c r="O3" s="768"/>
      <c r="P3" s="768"/>
      <c r="Q3" s="768"/>
      <c r="R3" s="768"/>
      <c r="S3" s="768"/>
      <c r="T3" s="768"/>
      <c r="U3" s="768"/>
      <c r="V3" s="768"/>
      <c r="W3" s="768"/>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69" t="str">
        <f>LEFT('W1'!D10,LEN('W1'!D10)-7)&amp;" (W1,3)"</f>
        <v>Internal flow (W1,3)</v>
      </c>
      <c r="G10" s="770"/>
      <c r="H10" s="83"/>
      <c r="J10" s="83"/>
      <c r="K10" s="83"/>
      <c r="L10" s="83"/>
      <c r="M10" s="83"/>
      <c r="N10" s="83"/>
      <c r="O10" s="83"/>
      <c r="P10" s="83"/>
      <c r="Q10" s="771" t="s">
        <v>75</v>
      </c>
      <c r="R10" s="763" t="s">
        <v>79</v>
      </c>
      <c r="S10" s="764"/>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73" t="str">
        <f>'W1'!D13&amp;" (W1,6)"</f>
        <v>Outflow of surface and groundwaters to neighbouring countries (W1,6)</v>
      </c>
      <c r="J11" s="774"/>
      <c r="K11" s="83"/>
      <c r="L11" s="86"/>
      <c r="M11" s="86"/>
      <c r="N11" s="86"/>
      <c r="O11" s="83"/>
      <c r="P11" s="83"/>
      <c r="Q11" s="772"/>
      <c r="R11" s="765"/>
      <c r="S11" s="766"/>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73" t="str">
        <f>'W1'!D16&amp;" (W1,9)"</f>
        <v>Outflow of surface and groundwaters to the sea (W1,9)</v>
      </c>
      <c r="J13" s="774"/>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75" t="str">
        <f>'W2'!D13</f>
        <v>of which abstracted by:</v>
      </c>
      <c r="E15" s="776"/>
      <c r="F15" s="776"/>
      <c r="G15" s="776"/>
      <c r="H15" s="776"/>
      <c r="I15" s="776"/>
      <c r="J15" s="776"/>
      <c r="K15" s="777"/>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54" t="str">
        <f>LEFT('W2'!D10,LEN('W2'!D10)-7)&amp;" (W2,3)"</f>
        <v>Gross freshwater abstracted (W2,3)</v>
      </c>
      <c r="E19" s="755"/>
      <c r="F19" s="755"/>
      <c r="G19" s="755"/>
      <c r="H19" s="755"/>
      <c r="I19" s="755"/>
      <c r="J19" s="755"/>
      <c r="K19" s="756"/>
      <c r="L19" s="83"/>
      <c r="M19" s="83"/>
      <c r="N19" s="83"/>
      <c r="O19" s="38"/>
      <c r="P19" s="83"/>
      <c r="Q19" s="83"/>
      <c r="R19" s="83"/>
      <c r="S19" s="83"/>
      <c r="T19" s="83"/>
      <c r="U19" s="65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5"/>
      <c r="I21" s="705"/>
      <c r="J21" s="754" t="str">
        <f>LEFT('W2'!D12,LEN('W2'!D12)-7)&amp;" (W2,5)"</f>
        <v>Net freshwater abstracted (W2,5)</v>
      </c>
      <c r="K21" s="756"/>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61" t="str">
        <f>LEFT('W2'!D28,LEN('W2'!D28)-17)&amp;" (W2,20)"</f>
        <v>Total freshwater available for use (W2,20)</v>
      </c>
      <c r="P22" s="83"/>
      <c r="Q22" s="761"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8"/>
      <c r="E23" s="778"/>
      <c r="F23" s="83"/>
      <c r="G23" s="754" t="str">
        <f>'W2'!D11&amp;" (W2,4)"</f>
        <v>Water returned without use (W2,4)</v>
      </c>
      <c r="H23" s="756"/>
      <c r="J23" s="754" t="str">
        <f>'W2'!D24&amp;" (W2,16)"</f>
        <v>Desalinated water (W2,16)</v>
      </c>
      <c r="K23" s="756"/>
      <c r="L23" s="83"/>
      <c r="M23" s="38"/>
      <c r="N23" s="83"/>
      <c r="O23" s="762"/>
      <c r="P23" s="83"/>
      <c r="Q23" s="762"/>
      <c r="R23" s="759" t="str">
        <f>'W2'!D31</f>
        <v>of which used by:</v>
      </c>
      <c r="S23" s="760"/>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54" t="str">
        <f>'W2'!D25&amp;" (W2,17)"</f>
        <v>Reused water (W2,17)</v>
      </c>
      <c r="K25" s="756"/>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57"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54" t="str">
        <f>'W2'!D26&amp;" - "&amp;'W2'!D27&amp;" (= W2,18 - W2,19)"</f>
        <v>Imports of water - Exports of water (= W2,18 - W2,19)</v>
      </c>
      <c r="K27" s="756"/>
      <c r="L27" s="83"/>
      <c r="M27" s="83"/>
      <c r="N27" s="83"/>
      <c r="O27" s="38"/>
      <c r="P27" s="758"/>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R10:S11"/>
    <mergeCell ref="D2:W2"/>
    <mergeCell ref="D3:W3"/>
    <mergeCell ref="F10:G10"/>
    <mergeCell ref="J23:K23"/>
    <mergeCell ref="Q10:Q11"/>
    <mergeCell ref="I11:J11"/>
    <mergeCell ref="I13:J13"/>
    <mergeCell ref="D15:K15"/>
    <mergeCell ref="D23:E23"/>
    <mergeCell ref="D19:K19"/>
    <mergeCell ref="J27:K27"/>
    <mergeCell ref="P26:P27"/>
    <mergeCell ref="R23:S23"/>
    <mergeCell ref="O22:O23"/>
    <mergeCell ref="Q22:Q23"/>
    <mergeCell ref="J25:K25"/>
    <mergeCell ref="J21:K21"/>
    <mergeCell ref="G23:H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zoomScalePageLayoutView="70" workbookViewId="0" topLeftCell="C1">
      <selection activeCell="F8" sqref="F8"/>
    </sheetView>
  </sheetViews>
  <sheetFormatPr defaultColWidth="12" defaultRowHeight="12.75"/>
  <cols>
    <col min="1" max="1" width="7.33203125" style="162" hidden="1" customWidth="1"/>
    <col min="2" max="2" width="8.5"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454</v>
      </c>
      <c r="C3" s="185" t="s">
        <v>297</v>
      </c>
      <c r="D3" s="543" t="s">
        <v>407</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303" t="s">
        <v>648</v>
      </c>
      <c r="AL3" s="302"/>
      <c r="AM3" s="303"/>
      <c r="AN3" s="302"/>
      <c r="AO3" s="303"/>
      <c r="AP3" s="303"/>
      <c r="AQ3" s="303"/>
      <c r="AR3" s="303"/>
      <c r="AS3" s="303"/>
      <c r="AT3" s="302"/>
      <c r="AU3" s="304"/>
      <c r="AV3" s="305"/>
      <c r="AW3" s="305"/>
      <c r="AX3" s="302"/>
      <c r="AY3" s="304"/>
      <c r="AZ3" s="305"/>
      <c r="BB3" s="192" t="s">
        <v>49</v>
      </c>
      <c r="CG3" s="173"/>
      <c r="CH3" s="173"/>
    </row>
    <row r="4" spans="3:86" ht="2.25" customHeight="1">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793"/>
      <c r="BB4" s="193"/>
      <c r="CG4" s="173"/>
      <c r="CH4" s="173"/>
    </row>
    <row r="5" spans="1:86" s="199" customFormat="1" ht="17.25" customHeight="1">
      <c r="A5" s="194"/>
      <c r="B5" s="163">
        <v>1</v>
      </c>
      <c r="C5" s="804" t="s">
        <v>437</v>
      </c>
      <c r="D5" s="804"/>
      <c r="E5" s="805"/>
      <c r="F5" s="805"/>
      <c r="G5" s="805"/>
      <c r="H5" s="806"/>
      <c r="I5" s="806"/>
      <c r="J5" s="806"/>
      <c r="K5" s="806"/>
      <c r="L5" s="806"/>
      <c r="M5" s="806"/>
      <c r="N5" s="806"/>
      <c r="O5" s="806"/>
      <c r="P5" s="806"/>
      <c r="Q5" s="806"/>
      <c r="R5" s="806"/>
      <c r="S5" s="806"/>
      <c r="T5" s="806"/>
      <c r="U5" s="806"/>
      <c r="V5" s="806"/>
      <c r="W5" s="805"/>
      <c r="X5" s="806"/>
      <c r="Y5" s="805"/>
      <c r="Z5" s="806"/>
      <c r="AA5" s="805"/>
      <c r="AB5" s="806"/>
      <c r="AC5" s="805"/>
      <c r="AD5" s="806"/>
      <c r="AE5" s="805"/>
      <c r="AF5" s="806"/>
      <c r="AG5" s="805"/>
      <c r="AH5" s="806"/>
      <c r="AI5" s="806"/>
      <c r="AJ5" s="806"/>
      <c r="AK5" s="805"/>
      <c r="AL5" s="806"/>
      <c r="AM5" s="805"/>
      <c r="AN5" s="806"/>
      <c r="AO5" s="805"/>
      <c r="AP5" s="805"/>
      <c r="AQ5" s="805"/>
      <c r="AR5" s="805"/>
      <c r="AS5" s="805"/>
      <c r="AT5" s="806"/>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803"/>
      <c r="CD5" s="803"/>
      <c r="CE5" s="803"/>
      <c r="CF5" s="803"/>
      <c r="CG5" s="173"/>
      <c r="CH5" s="173"/>
    </row>
    <row r="6" spans="5:86" ht="15.75" customHeight="1">
      <c r="E6" s="201"/>
      <c r="F6" s="202"/>
      <c r="H6" s="643" t="s">
        <v>492</v>
      </c>
      <c r="Z6" s="206"/>
      <c r="AB6" s="790"/>
      <c r="AC6" s="791"/>
      <c r="AD6" s="791"/>
      <c r="AE6" s="791"/>
      <c r="AF6" s="791"/>
      <c r="AG6" s="791"/>
      <c r="AH6" s="791"/>
      <c r="AI6" s="791"/>
      <c r="AJ6" s="791"/>
      <c r="AK6" s="792"/>
      <c r="AL6" s="792"/>
      <c r="AM6" s="792"/>
      <c r="AN6" s="792"/>
      <c r="AO6" s="208"/>
      <c r="AP6" s="208"/>
      <c r="AQ6" s="208"/>
      <c r="AR6" s="208"/>
      <c r="AS6" s="208"/>
      <c r="AT6" s="208"/>
      <c r="AU6" s="208"/>
      <c r="AV6" s="208"/>
      <c r="AW6" s="208"/>
      <c r="AX6" s="208"/>
      <c r="AY6" s="208"/>
      <c r="AZ6" s="209"/>
      <c r="BB6" s="210" t="s">
        <v>76</v>
      </c>
      <c r="CC6" s="211" t="s">
        <v>319</v>
      </c>
      <c r="CD6" s="211" t="s">
        <v>320</v>
      </c>
      <c r="CE6" s="211" t="s">
        <v>321</v>
      </c>
      <c r="CF6" s="211" t="s">
        <v>485</v>
      </c>
      <c r="CG6" s="211" t="s">
        <v>322</v>
      </c>
      <c r="CH6" s="211" t="s">
        <v>323</v>
      </c>
    </row>
    <row r="7" spans="1:86" s="217" customFormat="1" ht="42.75" customHeight="1">
      <c r="A7" s="212"/>
      <c r="B7" s="213">
        <v>2</v>
      </c>
      <c r="C7" s="214" t="s">
        <v>287</v>
      </c>
      <c r="D7" s="214" t="s">
        <v>288</v>
      </c>
      <c r="E7" s="215" t="s">
        <v>291</v>
      </c>
      <c r="F7" s="214" t="s">
        <v>315</v>
      </c>
      <c r="G7" s="216"/>
      <c r="H7" s="624">
        <v>1990</v>
      </c>
      <c r="I7" s="660"/>
      <c r="J7" s="675">
        <v>1995</v>
      </c>
      <c r="K7" s="679"/>
      <c r="L7" s="675">
        <v>2000</v>
      </c>
      <c r="M7" s="679"/>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5">
        <v>2018</v>
      </c>
      <c r="AW7" s="675"/>
      <c r="AX7" s="675">
        <v>2019</v>
      </c>
      <c r="AY7" s="679"/>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9">
        <v>4</v>
      </c>
      <c r="CD7" s="569" t="s">
        <v>324</v>
      </c>
      <c r="CE7" s="569">
        <v>213500</v>
      </c>
      <c r="CF7" s="569">
        <v>47150</v>
      </c>
      <c r="CG7" s="569">
        <v>10000</v>
      </c>
      <c r="CH7" s="569">
        <v>65330</v>
      </c>
    </row>
    <row r="8" spans="1:86" s="223" customFormat="1" ht="20.25" customHeight="1">
      <c r="A8" s="218"/>
      <c r="B8" s="219">
        <v>6</v>
      </c>
      <c r="C8" s="220">
        <v>1</v>
      </c>
      <c r="D8" s="221" t="s">
        <v>486</v>
      </c>
      <c r="E8" s="222" t="s">
        <v>299</v>
      </c>
      <c r="F8" s="544">
        <v>886</v>
      </c>
      <c r="G8" s="554"/>
      <c r="H8" s="544">
        <v>639.8</v>
      </c>
      <c r="I8" s="554" t="s">
        <v>649</v>
      </c>
      <c r="J8" s="544">
        <v>1041.6</v>
      </c>
      <c r="K8" s="554" t="s">
        <v>649</v>
      </c>
      <c r="L8" s="544">
        <v>972</v>
      </c>
      <c r="M8" s="554" t="s">
        <v>649</v>
      </c>
      <c r="N8" s="544">
        <v>923.2</v>
      </c>
      <c r="O8" s="554" t="s">
        <v>649</v>
      </c>
      <c r="P8" s="544">
        <v>942.5</v>
      </c>
      <c r="Q8" s="554" t="s">
        <v>649</v>
      </c>
      <c r="R8" s="544">
        <v>587</v>
      </c>
      <c r="S8" s="554" t="s">
        <v>649</v>
      </c>
      <c r="T8" s="544">
        <v>1044.9</v>
      </c>
      <c r="U8" s="554" t="s">
        <v>649</v>
      </c>
      <c r="V8" s="544">
        <v>978.4</v>
      </c>
      <c r="W8" s="554" t="s">
        <v>649</v>
      </c>
      <c r="X8" s="544">
        <v>898.9</v>
      </c>
      <c r="Y8" s="554" t="s">
        <v>649</v>
      </c>
      <c r="Z8" s="544">
        <v>872</v>
      </c>
      <c r="AA8" s="554" t="s">
        <v>649</v>
      </c>
      <c r="AB8" s="544">
        <v>841.4</v>
      </c>
      <c r="AC8" s="554" t="s">
        <v>649</v>
      </c>
      <c r="AD8" s="544">
        <v>832.9</v>
      </c>
      <c r="AE8" s="554" t="s">
        <v>649</v>
      </c>
      <c r="AF8" s="544">
        <v>842.1</v>
      </c>
      <c r="AG8" s="554" t="s">
        <v>649</v>
      </c>
      <c r="AH8" s="544">
        <v>792.2</v>
      </c>
      <c r="AI8" s="554" t="s">
        <v>649</v>
      </c>
      <c r="AJ8" s="544">
        <v>868.7</v>
      </c>
      <c r="AK8" s="554" t="s">
        <v>649</v>
      </c>
      <c r="AL8" s="544">
        <v>887.1</v>
      </c>
      <c r="AM8" s="554" t="s">
        <v>649</v>
      </c>
      <c r="AN8" s="544">
        <v>952.4</v>
      </c>
      <c r="AO8" s="554" t="s">
        <v>649</v>
      </c>
      <c r="AP8" s="544">
        <v>944.2</v>
      </c>
      <c r="AQ8" s="554" t="s">
        <v>649</v>
      </c>
      <c r="AR8" s="544">
        <v>950.8</v>
      </c>
      <c r="AS8" s="554" t="s">
        <v>649</v>
      </c>
      <c r="AT8" s="544">
        <v>932.5</v>
      </c>
      <c r="AU8" s="554" t="s">
        <v>649</v>
      </c>
      <c r="AV8" s="544">
        <v>885.3</v>
      </c>
      <c r="AW8" s="554" t="s">
        <v>649</v>
      </c>
      <c r="AX8" s="544">
        <v>914.8</v>
      </c>
      <c r="AY8" s="554" t="s">
        <v>649</v>
      </c>
      <c r="BA8" s="224"/>
      <c r="BB8" s="96">
        <v>1</v>
      </c>
      <c r="BC8" s="225" t="s">
        <v>77</v>
      </c>
      <c r="BD8" s="226" t="s">
        <v>78</v>
      </c>
      <c r="BE8" s="96" t="str">
        <f>IF(OR(ISERR(AVERAGE(H8:AY8)),ISBLANK(F8)),"N/A",IF(OR(F8&lt;AVERAGE(H8:AY8)*0.75,F8&gt;AVERAGE(H8:AY8)*1.25),"&lt;&gt;Average","ok"))</f>
        <v>ok</v>
      </c>
      <c r="BF8" s="577" t="s">
        <v>82</v>
      </c>
      <c r="BG8" s="96" t="str">
        <f aca="true" t="shared" si="0" ref="BG8:BG16">IF(OR(ISBLANK(H8),ISBLANK(J8)),"N/A",IF(ABS((J8-H8)/H8)&gt;1,"&gt; 100%","ok"))</f>
        <v>ok</v>
      </c>
      <c r="BH8" s="79" t="str">
        <f>IF(OR(ISBLANK(L8),ISBLANK(J8)),"N/A",IF(ABS((L8-J8)/J8)&gt;1,"&gt; 100%","ok"))</f>
        <v>ok</v>
      </c>
      <c r="BI8" s="79" t="str">
        <f aca="true" t="shared" si="1" ref="BI8:BI16">IF(OR(ISBLANK(N8),ISBLANK(L8)),"N/A",IF(ABS((N8-L8)/L8)&gt;0.25,"&gt; 25%","ok"))</f>
        <v>ok</v>
      </c>
      <c r="BJ8" s="79" t="str">
        <f aca="true" t="shared" si="2" ref="BJ8:BJ16">IF(OR(ISBLANK(P8),ISBLANK(N8)),"N/A",IF(ABS((P8-N8)/N8)&gt;0.25,"&gt; 25%","ok"))</f>
        <v>ok</v>
      </c>
      <c r="BK8" s="79" t="str">
        <f aca="true" t="shared" si="3" ref="BK8:BK16">IF(OR(ISBLANK(R8),ISBLANK(P8)),"N/A",IF(ABS((R8-P8)/P8)&gt;0.25,"&gt; 25%","ok"))</f>
        <v>&gt; 25%</v>
      </c>
      <c r="BL8" s="79" t="str">
        <f aca="true" t="shared" si="4" ref="BL8:BL16">IF(OR(ISBLANK(T8),ISBLANK(R8)),"N/A",IF(ABS((T8-R8)/R8)&gt;0.25,"&gt; 25%","ok"))</f>
        <v>&gt; 25%</v>
      </c>
      <c r="BM8" s="79" t="str">
        <f aca="true" t="shared" si="5" ref="BM8:BM16">IF(OR(ISBLANK(V8),ISBLANK(T8)),"N/A",IF(ABS((V8-T8)/T8)&gt;0.25,"&gt; 25%","ok"))</f>
        <v>ok</v>
      </c>
      <c r="BN8" s="79" t="str">
        <f aca="true" t="shared" si="6" ref="BN8:BN16">IF(OR(ISBLANK(X8),ISBLANK(V8)),"N/A",IF(ABS((X8-V8)/V8)&gt;0.25,"&gt; 25%","ok"))</f>
        <v>ok</v>
      </c>
      <c r="BO8" s="79" t="str">
        <f aca="true" t="shared" si="7" ref="BO8:BO16">IF(OR(ISBLANK(Z8),ISBLANK(X8)),"N/A",IF(ABS((Z8-X8)/X8)&gt;0.25,"&gt; 25%","ok"))</f>
        <v>ok</v>
      </c>
      <c r="BP8" s="79" t="str">
        <f aca="true" t="shared" si="8" ref="BP8:BP16">IF(OR(ISBLANK(AB8),ISBLANK(Z8)),"N/A",IF(ABS((AB8-Z8)/Z8)&gt;0.25,"&gt; 25%","ok"))</f>
        <v>ok</v>
      </c>
      <c r="BQ8" s="79" t="str">
        <f aca="true" t="shared" si="9" ref="BQ8:BQ16">IF(OR(ISBLANK(AD8),ISBLANK(AB8)),"N/A",IF(ABS((AD8-AB8)/AB8)&gt;0.25,"&gt; 25%","ok"))</f>
        <v>ok</v>
      </c>
      <c r="BR8" s="79" t="str">
        <f aca="true" t="shared" si="10" ref="BR8:BR16">IF(OR(ISBLANK(AF8),ISBLANK(AD8)),"N/A",IF(ABS((AF8-AD8)/AD8)&gt;0.25,"&gt; 25%","ok"))</f>
        <v>ok</v>
      </c>
      <c r="BS8" s="79" t="str">
        <f aca="true" t="shared" si="11" ref="BS8:BS16">IF(OR(ISBLANK(AH8),ISBLANK(AF8)),"N/A",IF(ABS((AH8-AF8)/AF8)&gt;0.25,"&gt; 25%","ok"))</f>
        <v>ok</v>
      </c>
      <c r="BT8" s="79" t="str">
        <f aca="true" t="shared" si="12" ref="BT8:BT16">IF(OR(ISBLANK(AJ8),ISBLANK(AH8)),"N/A",IF(ABS((AJ8-AH8)/AH8)&gt;0.25,"&gt; 25%","ok"))</f>
        <v>ok</v>
      </c>
      <c r="BU8" s="79" t="str">
        <f aca="true" t="shared" si="13" ref="BU8:BU16">IF(OR(ISBLANK(AL8),ISBLANK(AJ8)),"N/A",IF(ABS((AL8-AJ8)/AJ8)&gt;0.25,"&gt; 25%","ok"))</f>
        <v>ok</v>
      </c>
      <c r="BV8" s="79" t="str">
        <f aca="true" t="shared" si="14" ref="BV8:BV16">IF(OR(ISBLANK(AN8),ISBLANK(AL8)),"N/A",IF(ABS((AN8-AL8)/AL8)&gt;0.25,"&gt; 25%","ok"))</f>
        <v>ok</v>
      </c>
      <c r="BW8" s="79" t="str">
        <f aca="true" t="shared" si="15" ref="BW8:BW16">IF(OR(ISBLANK(AP8),ISBLANK(AN8)),"N/A",IF(ABS((AP8-AN8)/AN8)&gt;0.25,"&gt; 25%","ok"))</f>
        <v>ok</v>
      </c>
      <c r="BX8" s="79" t="str">
        <f aca="true" t="shared" si="16" ref="BX8:BX16">IF(OR(ISBLANK(AR8),ISBLANK(AP8)),"N/A",IF(ABS((AR8-AP8)/AP8)&gt;0.25,"&gt; 25%","ok"))</f>
        <v>ok</v>
      </c>
      <c r="BY8" s="79" t="str">
        <f>IF(OR(ISBLANK(AT8),ISBLANK(AR8)),"N/A",IF(ABS((AT8-AR8)/AR8)&gt;0.25,"&gt; 25%","ok"))</f>
        <v>ok</v>
      </c>
      <c r="BZ8" s="79" t="str">
        <f aca="true" t="shared" si="17" ref="BZ8:BZ16">IF(OR(ISBLANK(AV8),ISBLANK(AT8)),"N/A",IF(ABS((AV8-AT8)/AT8)&gt;0.25,"&gt; 25%","ok"))</f>
        <v>ok</v>
      </c>
      <c r="CA8" s="79" t="str">
        <f aca="true" t="shared" si="18" ref="CA8:CA16">IF(OR(ISBLANK(AX8),ISBLANK(AV8)),"N/A",IF(ABS((AX8-AV8)/AV8)&gt;0.25,"&gt; 25%","ok"))</f>
        <v>ok</v>
      </c>
      <c r="CB8" s="199"/>
      <c r="CC8" s="569">
        <v>8</v>
      </c>
      <c r="CD8" s="569" t="s">
        <v>325</v>
      </c>
      <c r="CE8" s="569">
        <v>42690</v>
      </c>
      <c r="CF8" s="569">
        <v>26900</v>
      </c>
      <c r="CG8" s="569">
        <v>3300</v>
      </c>
      <c r="CH8" s="569">
        <v>30200</v>
      </c>
    </row>
    <row r="9" spans="1:86" s="223" customFormat="1" ht="20.25" customHeight="1">
      <c r="A9" s="218"/>
      <c r="B9" s="219">
        <v>7</v>
      </c>
      <c r="C9" s="228">
        <v>2</v>
      </c>
      <c r="D9" s="229" t="s">
        <v>484</v>
      </c>
      <c r="E9" s="228" t="s">
        <v>299</v>
      </c>
      <c r="F9" s="572">
        <v>1541</v>
      </c>
      <c r="G9" s="555"/>
      <c r="H9" s="572"/>
      <c r="I9" s="555"/>
      <c r="J9" s="572"/>
      <c r="K9" s="555"/>
      <c r="L9" s="572"/>
      <c r="M9" s="555"/>
      <c r="N9" s="572"/>
      <c r="O9" s="555"/>
      <c r="P9" s="572"/>
      <c r="Q9" s="555"/>
      <c r="R9" s="572"/>
      <c r="S9" s="555"/>
      <c r="T9" s="572"/>
      <c r="U9" s="555"/>
      <c r="V9" s="572"/>
      <c r="W9" s="555"/>
      <c r="X9" s="572"/>
      <c r="Y9" s="555"/>
      <c r="Z9" s="572"/>
      <c r="AA9" s="555"/>
      <c r="AB9" s="572"/>
      <c r="AC9" s="555"/>
      <c r="AD9" s="572"/>
      <c r="AE9" s="555"/>
      <c r="AF9" s="572">
        <v>1825</v>
      </c>
      <c r="AG9" s="555" t="s">
        <v>652</v>
      </c>
      <c r="AH9" s="572"/>
      <c r="AI9" s="555"/>
      <c r="AJ9" s="572"/>
      <c r="AK9" s="555"/>
      <c r="AL9" s="572"/>
      <c r="AM9" s="555"/>
      <c r="AN9" s="572"/>
      <c r="AO9" s="555"/>
      <c r="AP9" s="572">
        <v>1741</v>
      </c>
      <c r="AQ9" s="555" t="s">
        <v>652</v>
      </c>
      <c r="AR9" s="572"/>
      <c r="AS9" s="555"/>
      <c r="AT9" s="572"/>
      <c r="AU9" s="555"/>
      <c r="AV9" s="572"/>
      <c r="AW9" s="555"/>
      <c r="AX9" s="572">
        <v>1721</v>
      </c>
      <c r="AY9" s="555" t="s">
        <v>652</v>
      </c>
      <c r="BA9" s="224"/>
      <c r="BB9" s="81">
        <v>2</v>
      </c>
      <c r="BC9" s="230" t="s">
        <v>484</v>
      </c>
      <c r="BD9" s="82" t="s">
        <v>78</v>
      </c>
      <c r="BE9" s="96" t="str">
        <f aca="true" t="shared" si="19" ref="BE9:BE16">IF(OR(ISERR(AVERAGE(H9:AY9)),ISBLANK(F9)),"N/A",IF(OR(F9&lt;AVERAGE(H9:AY9)*0.75,F9&gt;AVERAGE(H9:AY9)*1.25),"&lt;&gt;Average","ok"))</f>
        <v>ok</v>
      </c>
      <c r="BF9" s="578"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9">
        <v>12</v>
      </c>
      <c r="CD9" s="569" t="s">
        <v>326</v>
      </c>
      <c r="CE9" s="569">
        <v>212000</v>
      </c>
      <c r="CF9" s="569">
        <v>11250</v>
      </c>
      <c r="CG9" s="569">
        <v>390</v>
      </c>
      <c r="CH9" s="569">
        <v>11670</v>
      </c>
    </row>
    <row r="10" spans="1:86" s="232" customFormat="1" ht="20.25" customHeight="1">
      <c r="A10" s="231" t="s">
        <v>65</v>
      </c>
      <c r="B10" s="219">
        <v>5</v>
      </c>
      <c r="C10" s="220">
        <v>3</v>
      </c>
      <c r="D10" s="229" t="s">
        <v>19</v>
      </c>
      <c r="E10" s="228" t="s">
        <v>299</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572"/>
      <c r="AY10" s="555"/>
      <c r="BA10" s="233"/>
      <c r="BB10" s="96">
        <v>3</v>
      </c>
      <c r="BC10" s="230" t="s">
        <v>19</v>
      </c>
      <c r="BD10" s="81" t="s">
        <v>78</v>
      </c>
      <c r="BE10" s="96" t="str">
        <f t="shared" si="19"/>
        <v>N/A</v>
      </c>
      <c r="BF10" s="578"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9">
        <v>20</v>
      </c>
      <c r="CD10" s="569" t="s">
        <v>146</v>
      </c>
      <c r="CE10" s="569">
        <v>472.4</v>
      </c>
      <c r="CF10" s="569">
        <v>315.59999999999997</v>
      </c>
      <c r="CG10" s="569"/>
      <c r="CH10" s="569">
        <v>315.59999999999997</v>
      </c>
    </row>
    <row r="11" spans="1:86" s="223" customFormat="1" ht="34.5" customHeight="1">
      <c r="A11" s="218"/>
      <c r="B11" s="219">
        <v>8</v>
      </c>
      <c r="C11" s="228">
        <v>4</v>
      </c>
      <c r="D11" s="234" t="s">
        <v>208</v>
      </c>
      <c r="E11" s="228" t="s">
        <v>299</v>
      </c>
      <c r="F11" s="572"/>
      <c r="G11" s="555"/>
      <c r="H11" s="572"/>
      <c r="I11" s="555"/>
      <c r="J11" s="572"/>
      <c r="K11" s="555"/>
      <c r="L11" s="572"/>
      <c r="M11" s="555"/>
      <c r="N11" s="572"/>
      <c r="O11" s="555"/>
      <c r="P11" s="572"/>
      <c r="Q11" s="555"/>
      <c r="R11" s="572"/>
      <c r="S11" s="555"/>
      <c r="T11" s="572"/>
      <c r="U11" s="555"/>
      <c r="V11" s="572"/>
      <c r="W11" s="555"/>
      <c r="X11" s="572"/>
      <c r="Y11" s="555"/>
      <c r="Z11" s="572"/>
      <c r="AA11" s="555"/>
      <c r="AB11" s="572"/>
      <c r="AC11" s="555"/>
      <c r="AD11" s="572"/>
      <c r="AE11" s="555"/>
      <c r="AF11" s="572"/>
      <c r="AG11" s="555"/>
      <c r="AH11" s="572"/>
      <c r="AI11" s="555"/>
      <c r="AJ11" s="572"/>
      <c r="AK11" s="555"/>
      <c r="AL11" s="572"/>
      <c r="AM11" s="555"/>
      <c r="AN11" s="572"/>
      <c r="AO11" s="555"/>
      <c r="AP11" s="572"/>
      <c r="AQ11" s="555"/>
      <c r="AR11" s="572"/>
      <c r="AS11" s="555"/>
      <c r="AT11" s="572"/>
      <c r="AU11" s="555"/>
      <c r="AV11" s="572"/>
      <c r="AW11" s="555"/>
      <c r="AX11" s="572"/>
      <c r="AY11" s="555"/>
      <c r="BA11" s="224"/>
      <c r="BB11" s="81">
        <v>4</v>
      </c>
      <c r="BC11" s="230" t="s">
        <v>208</v>
      </c>
      <c r="BD11" s="82" t="s">
        <v>78</v>
      </c>
      <c r="BE11" s="96" t="str">
        <f t="shared" si="19"/>
        <v>N/A</v>
      </c>
      <c r="BF11" s="578" t="s">
        <v>82</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69">
        <v>24</v>
      </c>
      <c r="CD11" s="569" t="s">
        <v>327</v>
      </c>
      <c r="CE11" s="569">
        <v>1259000</v>
      </c>
      <c r="CF11" s="569">
        <v>148000</v>
      </c>
      <c r="CG11" s="569">
        <v>400</v>
      </c>
      <c r="CH11" s="569">
        <v>148400</v>
      </c>
    </row>
    <row r="12" spans="1:86" s="238" customFormat="1" ht="34.5" customHeight="1">
      <c r="A12" s="231" t="s">
        <v>65</v>
      </c>
      <c r="B12" s="219">
        <v>124</v>
      </c>
      <c r="C12" s="235">
        <v>5</v>
      </c>
      <c r="D12" s="236" t="s">
        <v>18</v>
      </c>
      <c r="E12" s="237" t="s">
        <v>299</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X12" s="573"/>
      <c r="AY12" s="556"/>
      <c r="BA12" s="233"/>
      <c r="BB12" s="96">
        <v>5</v>
      </c>
      <c r="BC12" s="239" t="s">
        <v>18</v>
      </c>
      <c r="BD12" s="82" t="s">
        <v>78</v>
      </c>
      <c r="BE12" s="96" t="str">
        <f>IF(OR(ISERR(AVERAGE(H12:AY12)),ISBLANK(F12)),"N/A",IF(OR(F12&lt;AVERAGE(H12:AY12)*0.75,F12&gt;AVERAGE(H12:AY12)*1.25),"&lt;&gt;Average","ok"))</f>
        <v>N/A</v>
      </c>
      <c r="BF12" s="578"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9">
        <v>28</v>
      </c>
      <c r="CD12" s="569" t="s">
        <v>328</v>
      </c>
      <c r="CE12" s="569">
        <v>453.2</v>
      </c>
      <c r="CF12" s="569">
        <v>52</v>
      </c>
      <c r="CG12" s="569">
        <v>0</v>
      </c>
      <c r="CH12" s="569">
        <v>52</v>
      </c>
    </row>
    <row r="13" spans="1:86" s="238" customFormat="1" ht="34.5" customHeight="1">
      <c r="A13" s="240" t="s">
        <v>65</v>
      </c>
      <c r="B13" s="219">
        <v>127</v>
      </c>
      <c r="C13" s="228">
        <v>6</v>
      </c>
      <c r="D13" s="234" t="s">
        <v>206</v>
      </c>
      <c r="E13" s="241"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X13" s="572"/>
      <c r="AY13" s="555"/>
      <c r="BA13" s="233"/>
      <c r="BB13" s="96">
        <v>6</v>
      </c>
      <c r="BC13" s="230" t="s">
        <v>477</v>
      </c>
      <c r="BD13" s="82" t="s">
        <v>78</v>
      </c>
      <c r="BE13" s="96" t="str">
        <f t="shared" si="19"/>
        <v>N/A</v>
      </c>
      <c r="BF13" s="579"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9">
        <v>32</v>
      </c>
      <c r="CD13" s="569" t="s">
        <v>329</v>
      </c>
      <c r="CE13" s="569">
        <v>1643000</v>
      </c>
      <c r="CF13" s="569">
        <v>292000</v>
      </c>
      <c r="CG13" s="569">
        <v>516299.99999999994</v>
      </c>
      <c r="CH13" s="569">
        <v>876200</v>
      </c>
    </row>
    <row r="14" spans="1:86" s="238" customFormat="1" ht="34.5" customHeight="1">
      <c r="A14" s="231"/>
      <c r="B14" s="219">
        <v>125</v>
      </c>
      <c r="C14" s="241">
        <v>7</v>
      </c>
      <c r="D14" s="243" t="s">
        <v>273</v>
      </c>
      <c r="E14" s="241" t="s">
        <v>299</v>
      </c>
      <c r="F14" s="574"/>
      <c r="G14" s="560"/>
      <c r="H14" s="574"/>
      <c r="I14" s="560"/>
      <c r="J14" s="574"/>
      <c r="K14" s="560"/>
      <c r="L14" s="574"/>
      <c r="M14" s="560"/>
      <c r="N14" s="574"/>
      <c r="O14" s="560"/>
      <c r="P14" s="574"/>
      <c r="Q14" s="560"/>
      <c r="R14" s="574"/>
      <c r="S14" s="560"/>
      <c r="T14" s="574"/>
      <c r="U14" s="560"/>
      <c r="V14" s="574"/>
      <c r="W14" s="560"/>
      <c r="X14" s="574"/>
      <c r="Y14" s="560"/>
      <c r="Z14" s="574"/>
      <c r="AA14" s="560"/>
      <c r="AB14" s="574"/>
      <c r="AC14" s="560"/>
      <c r="AD14" s="574"/>
      <c r="AE14" s="560"/>
      <c r="AF14" s="574"/>
      <c r="AG14" s="560"/>
      <c r="AH14" s="574"/>
      <c r="AI14" s="560"/>
      <c r="AJ14" s="574"/>
      <c r="AK14" s="560"/>
      <c r="AL14" s="574"/>
      <c r="AM14" s="560"/>
      <c r="AN14" s="574"/>
      <c r="AO14" s="560"/>
      <c r="AP14" s="574"/>
      <c r="AQ14" s="560"/>
      <c r="AR14" s="574"/>
      <c r="AS14" s="560"/>
      <c r="AT14" s="574"/>
      <c r="AU14" s="560"/>
      <c r="AV14" s="574"/>
      <c r="AW14" s="560"/>
      <c r="AX14" s="574"/>
      <c r="AY14" s="560"/>
      <c r="BA14" s="233"/>
      <c r="BB14" s="81">
        <v>7</v>
      </c>
      <c r="BC14" s="244" t="s">
        <v>493</v>
      </c>
      <c r="BD14" s="82" t="s">
        <v>78</v>
      </c>
      <c r="BE14" s="96" t="str">
        <f t="shared" si="19"/>
        <v>N/A</v>
      </c>
      <c r="BF14" s="579" t="s">
        <v>82</v>
      </c>
      <c r="BG14" s="81" t="str">
        <f t="shared" si="0"/>
        <v>N/A</v>
      </c>
      <c r="BH14" s="79" t="str">
        <f t="shared" si="20"/>
        <v>N/A</v>
      </c>
      <c r="BI14" s="571" t="str">
        <f t="shared" si="1"/>
        <v>N/A</v>
      </c>
      <c r="BJ14" s="571" t="str">
        <f t="shared" si="2"/>
        <v>N/A</v>
      </c>
      <c r="BK14" s="571" t="str">
        <f t="shared" si="3"/>
        <v>N/A</v>
      </c>
      <c r="BL14" s="571" t="str">
        <f t="shared" si="4"/>
        <v>N/A</v>
      </c>
      <c r="BM14" s="571"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9">
        <v>51</v>
      </c>
      <c r="CD14" s="569" t="s">
        <v>330</v>
      </c>
      <c r="CE14" s="569">
        <v>16710</v>
      </c>
      <c r="CF14" s="569">
        <v>6859</v>
      </c>
      <c r="CG14" s="569">
        <v>0</v>
      </c>
      <c r="CH14" s="569">
        <v>7769</v>
      </c>
    </row>
    <row r="15" spans="1:86" s="238" customFormat="1" ht="20.25" customHeight="1">
      <c r="A15" s="231"/>
      <c r="B15" s="219">
        <v>126</v>
      </c>
      <c r="C15" s="241">
        <v>8</v>
      </c>
      <c r="D15" s="245" t="s">
        <v>274</v>
      </c>
      <c r="E15" s="241" t="s">
        <v>299</v>
      </c>
      <c r="F15" s="575"/>
      <c r="G15" s="557"/>
      <c r="H15" s="575"/>
      <c r="I15" s="557"/>
      <c r="J15" s="575"/>
      <c r="K15" s="557"/>
      <c r="L15" s="575"/>
      <c r="M15" s="557"/>
      <c r="N15" s="575"/>
      <c r="O15" s="557"/>
      <c r="P15" s="575"/>
      <c r="Q15" s="557"/>
      <c r="R15" s="575"/>
      <c r="S15" s="557"/>
      <c r="T15" s="575"/>
      <c r="U15" s="557"/>
      <c r="V15" s="575"/>
      <c r="W15" s="557"/>
      <c r="X15" s="575"/>
      <c r="Y15" s="557"/>
      <c r="Z15" s="575"/>
      <c r="AA15" s="557"/>
      <c r="AB15" s="575"/>
      <c r="AC15" s="557"/>
      <c r="AD15" s="575"/>
      <c r="AE15" s="557"/>
      <c r="AF15" s="575"/>
      <c r="AG15" s="557"/>
      <c r="AH15" s="575"/>
      <c r="AI15" s="557"/>
      <c r="AJ15" s="575"/>
      <c r="AK15" s="557"/>
      <c r="AL15" s="575"/>
      <c r="AM15" s="557"/>
      <c r="AN15" s="575"/>
      <c r="AO15" s="557"/>
      <c r="AP15" s="575"/>
      <c r="AQ15" s="557"/>
      <c r="AR15" s="575"/>
      <c r="AS15" s="557"/>
      <c r="AT15" s="575"/>
      <c r="AU15" s="557"/>
      <c r="AV15" s="575"/>
      <c r="AW15" s="557"/>
      <c r="AX15" s="575"/>
      <c r="AY15" s="557"/>
      <c r="BA15" s="233"/>
      <c r="BB15" s="96">
        <v>8</v>
      </c>
      <c r="BC15" s="246" t="s">
        <v>126</v>
      </c>
      <c r="BD15" s="82" t="s">
        <v>78</v>
      </c>
      <c r="BE15" s="96" t="str">
        <f t="shared" si="19"/>
        <v>N/A</v>
      </c>
      <c r="BF15" s="579"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9">
        <v>31</v>
      </c>
      <c r="CD15" s="569" t="s">
        <v>331</v>
      </c>
      <c r="CE15" s="569">
        <v>38710</v>
      </c>
      <c r="CF15" s="569">
        <v>8115</v>
      </c>
      <c r="CG15" s="569">
        <v>19760</v>
      </c>
      <c r="CH15" s="569">
        <v>34680</v>
      </c>
    </row>
    <row r="16" spans="1:86" s="238" customFormat="1" ht="30" customHeight="1">
      <c r="A16" s="231"/>
      <c r="B16" s="219">
        <v>128</v>
      </c>
      <c r="C16" s="247">
        <v>9</v>
      </c>
      <c r="D16" s="248" t="s">
        <v>85</v>
      </c>
      <c r="E16" s="247" t="s">
        <v>299</v>
      </c>
      <c r="F16" s="576"/>
      <c r="G16" s="558"/>
      <c r="H16" s="576"/>
      <c r="I16" s="558"/>
      <c r="J16" s="576"/>
      <c r="K16" s="558"/>
      <c r="L16" s="576"/>
      <c r="M16" s="558"/>
      <c r="N16" s="576"/>
      <c r="O16" s="558"/>
      <c r="P16" s="576"/>
      <c r="Q16" s="558"/>
      <c r="R16" s="576"/>
      <c r="S16" s="558"/>
      <c r="T16" s="576"/>
      <c r="U16" s="558"/>
      <c r="V16" s="576"/>
      <c r="W16" s="558"/>
      <c r="X16" s="576"/>
      <c r="Y16" s="558"/>
      <c r="Z16" s="576"/>
      <c r="AA16" s="558"/>
      <c r="AB16" s="576"/>
      <c r="AC16" s="558"/>
      <c r="AD16" s="576"/>
      <c r="AE16" s="558"/>
      <c r="AF16" s="576"/>
      <c r="AG16" s="558"/>
      <c r="AH16" s="576"/>
      <c r="AI16" s="558"/>
      <c r="AJ16" s="576"/>
      <c r="AK16" s="558"/>
      <c r="AL16" s="576"/>
      <c r="AM16" s="558"/>
      <c r="AN16" s="576"/>
      <c r="AO16" s="558"/>
      <c r="AP16" s="576"/>
      <c r="AQ16" s="558"/>
      <c r="AR16" s="576"/>
      <c r="AS16" s="558"/>
      <c r="AT16" s="576"/>
      <c r="AU16" s="558"/>
      <c r="AV16" s="576"/>
      <c r="AW16" s="558"/>
      <c r="AX16" s="576"/>
      <c r="AY16" s="558"/>
      <c r="BA16" s="233"/>
      <c r="BB16" s="250">
        <v>9</v>
      </c>
      <c r="BC16" s="246" t="s">
        <v>85</v>
      </c>
      <c r="BD16" s="82" t="s">
        <v>78</v>
      </c>
      <c r="BE16" s="96" t="str">
        <f t="shared" si="19"/>
        <v>N/A</v>
      </c>
      <c r="BF16" s="579" t="s">
        <v>82</v>
      </c>
      <c r="BG16" s="250" t="str">
        <f t="shared" si="0"/>
        <v>N/A</v>
      </c>
      <c r="BH16" s="79" t="str">
        <f t="shared" si="20"/>
        <v>N/A</v>
      </c>
      <c r="BI16" s="571" t="str">
        <f t="shared" si="1"/>
        <v>N/A</v>
      </c>
      <c r="BJ16" s="571" t="str">
        <f t="shared" si="2"/>
        <v>N/A</v>
      </c>
      <c r="BK16" s="571" t="str">
        <f t="shared" si="3"/>
        <v>N/A</v>
      </c>
      <c r="BL16" s="571" t="str">
        <f t="shared" si="4"/>
        <v>N/A</v>
      </c>
      <c r="BM16" s="571"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9">
        <v>44</v>
      </c>
      <c r="CD16" s="569" t="s">
        <v>332</v>
      </c>
      <c r="CE16" s="569">
        <v>17930</v>
      </c>
      <c r="CF16" s="569">
        <v>700</v>
      </c>
      <c r="CG16" s="569">
        <v>0</v>
      </c>
      <c r="CH16" s="56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80"/>
      <c r="BG17" s="94"/>
      <c r="BH17" s="80"/>
      <c r="BI17" s="580"/>
      <c r="BJ17" s="580"/>
      <c r="BK17" s="580"/>
      <c r="BL17" s="80"/>
      <c r="BM17" s="80"/>
      <c r="BN17" s="80"/>
      <c r="BO17" s="80"/>
      <c r="BP17" s="80"/>
      <c r="BQ17" s="80"/>
      <c r="BR17" s="80"/>
      <c r="BS17" s="80"/>
      <c r="BT17" s="80"/>
      <c r="BU17" s="80"/>
      <c r="BV17" s="80"/>
      <c r="BW17" s="80"/>
      <c r="BX17" s="80"/>
      <c r="BY17" s="80"/>
      <c r="BZ17" s="80"/>
      <c r="CA17" s="80"/>
      <c r="CB17" s="199"/>
      <c r="CC17" s="569">
        <v>48</v>
      </c>
      <c r="CD17" s="569" t="s">
        <v>333</v>
      </c>
      <c r="CE17" s="569">
        <v>64</v>
      </c>
      <c r="CF17" s="569">
        <v>4</v>
      </c>
      <c r="CG17" s="569">
        <v>0</v>
      </c>
      <c r="CH17" s="56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9">
        <v>50</v>
      </c>
      <c r="CD18" s="569" t="s">
        <v>334</v>
      </c>
      <c r="CE18" s="569">
        <v>393600</v>
      </c>
      <c r="CF18" s="569">
        <v>105000</v>
      </c>
      <c r="CG18" s="569">
        <v>1122000</v>
      </c>
      <c r="CH18" s="569">
        <v>1227000</v>
      </c>
    </row>
    <row r="19" spans="3:86" ht="18" customHeight="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600</v>
      </c>
      <c r="CB19" s="199"/>
      <c r="CC19" s="569">
        <v>52</v>
      </c>
      <c r="CD19" s="569" t="s">
        <v>335</v>
      </c>
      <c r="CE19" s="569">
        <v>611.5</v>
      </c>
      <c r="CF19" s="569">
        <v>80</v>
      </c>
      <c r="CG19" s="569">
        <v>0</v>
      </c>
      <c r="CH19" s="569">
        <v>80</v>
      </c>
    </row>
    <row r="20" spans="3:86" ht="15.75" customHeight="1">
      <c r="C20" s="260" t="s">
        <v>142</v>
      </c>
      <c r="D20" s="798" t="s">
        <v>258</v>
      </c>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8"/>
      <c r="AJ20" s="798"/>
      <c r="AK20" s="798"/>
      <c r="AL20" s="798"/>
      <c r="AM20" s="798"/>
      <c r="AN20" s="798"/>
      <c r="AO20" s="798"/>
      <c r="AP20" s="798"/>
      <c r="AQ20" s="798"/>
      <c r="AR20" s="798"/>
      <c r="AS20" s="798"/>
      <c r="AT20" s="798"/>
      <c r="AU20" s="798"/>
      <c r="AV20" s="798"/>
      <c r="AW20" s="798"/>
      <c r="AX20" s="798"/>
      <c r="AY20" s="798"/>
      <c r="AZ20" s="798"/>
      <c r="BB20" s="214" t="s">
        <v>287</v>
      </c>
      <c r="BC20" s="214" t="s">
        <v>288</v>
      </c>
      <c r="BD20" s="215" t="s">
        <v>291</v>
      </c>
      <c r="BE20" s="214" t="s">
        <v>315</v>
      </c>
      <c r="BF20" s="215">
        <v>1990</v>
      </c>
      <c r="BG20" s="215">
        <v>1995</v>
      </c>
      <c r="BH20" s="581">
        <v>2000</v>
      </c>
      <c r="BI20" s="581">
        <v>2001</v>
      </c>
      <c r="BJ20" s="581">
        <v>2002</v>
      </c>
      <c r="BK20" s="581">
        <v>2003</v>
      </c>
      <c r="BL20" s="581">
        <v>2004</v>
      </c>
      <c r="BM20" s="581">
        <v>2005</v>
      </c>
      <c r="BN20" s="581">
        <v>2006</v>
      </c>
      <c r="BO20" s="581">
        <v>2007</v>
      </c>
      <c r="BP20" s="581">
        <v>2008</v>
      </c>
      <c r="BQ20" s="581">
        <v>2009</v>
      </c>
      <c r="BR20" s="581">
        <v>2010</v>
      </c>
      <c r="BS20" s="581">
        <v>2011</v>
      </c>
      <c r="BT20" s="581">
        <v>2012</v>
      </c>
      <c r="BU20" s="581">
        <v>2013</v>
      </c>
      <c r="BV20" s="581">
        <v>2014</v>
      </c>
      <c r="BW20" s="581">
        <v>2015</v>
      </c>
      <c r="BX20" s="581">
        <v>2016</v>
      </c>
      <c r="BY20" s="581">
        <v>2017</v>
      </c>
      <c r="BZ20" s="581">
        <v>2018</v>
      </c>
      <c r="CA20" s="581">
        <v>2019</v>
      </c>
      <c r="CB20" s="199"/>
      <c r="CC20" s="569">
        <v>112</v>
      </c>
      <c r="CD20" s="569" t="s">
        <v>336</v>
      </c>
      <c r="CE20" s="569">
        <v>128300.00000000001</v>
      </c>
      <c r="CF20" s="569">
        <v>34000</v>
      </c>
      <c r="CG20" s="569">
        <v>23900</v>
      </c>
      <c r="CH20" s="569">
        <v>57900</v>
      </c>
    </row>
    <row r="21" spans="3:86" ht="15.75" customHeight="1">
      <c r="C21" s="260" t="s">
        <v>142</v>
      </c>
      <c r="D21" s="798" t="s">
        <v>241</v>
      </c>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8"/>
      <c r="AY21" s="798"/>
      <c r="AZ21" s="798"/>
      <c r="BB21" s="96">
        <v>3</v>
      </c>
      <c r="BC21" s="230" t="s">
        <v>19</v>
      </c>
      <c r="BD21" s="81" t="s">
        <v>299</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9">
        <v>84</v>
      </c>
      <c r="CD21" s="569" t="s">
        <v>337</v>
      </c>
      <c r="CE21" s="569">
        <v>39160</v>
      </c>
      <c r="CF21" s="569">
        <v>15260</v>
      </c>
      <c r="CG21" s="569">
        <v>6042</v>
      </c>
      <c r="CH21" s="569">
        <v>21730</v>
      </c>
    </row>
    <row r="22" spans="1:87" ht="15.75" customHeight="1">
      <c r="A22" s="262"/>
      <c r="C22" s="260" t="s">
        <v>142</v>
      </c>
      <c r="D22" s="794" t="s">
        <v>143</v>
      </c>
      <c r="E22" s="794"/>
      <c r="F22" s="794"/>
      <c r="G22" s="794"/>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4"/>
      <c r="AY22" s="794"/>
      <c r="AZ22" s="794"/>
      <c r="BA22" s="264"/>
      <c r="BB22" s="265">
        <v>10</v>
      </c>
      <c r="BC22" s="266" t="s">
        <v>37</v>
      </c>
      <c r="BD22" s="81" t="s">
        <v>299</v>
      </c>
      <c r="BE22" s="81">
        <f>(F8-F9)</f>
        <v>-655</v>
      </c>
      <c r="BF22" s="81">
        <f>(H8-H9)</f>
        <v>639.8</v>
      </c>
      <c r="BG22" s="81">
        <f>(J8-J9)</f>
        <v>1041.6</v>
      </c>
      <c r="BH22" s="81">
        <f>(L8-L9)</f>
        <v>972</v>
      </c>
      <c r="BI22" s="81">
        <f>(N8-N9)</f>
        <v>923.2</v>
      </c>
      <c r="BJ22" s="81">
        <f>(P8-P9)</f>
        <v>942.5</v>
      </c>
      <c r="BK22" s="81">
        <f>(R8-R9)</f>
        <v>587</v>
      </c>
      <c r="BL22" s="81">
        <f>(T8-T9)</f>
        <v>1044.9</v>
      </c>
      <c r="BM22" s="81">
        <f>(V8-V9)</f>
        <v>978.4</v>
      </c>
      <c r="BN22" s="81">
        <f>(X8-X9)</f>
        <v>898.9</v>
      </c>
      <c r="BO22" s="81">
        <f>(Z8-Z9)</f>
        <v>872</v>
      </c>
      <c r="BP22" s="81">
        <f>(AB8-AB9)</f>
        <v>841.4</v>
      </c>
      <c r="BQ22" s="81">
        <f>(AD8-AD9)</f>
        <v>832.9</v>
      </c>
      <c r="BR22" s="81">
        <f>(AF8-AF9)</f>
        <v>-982.9</v>
      </c>
      <c r="BS22" s="81">
        <f>(AH8-AH9)</f>
        <v>792.2</v>
      </c>
      <c r="BT22" s="81">
        <f>(AJ8-AJ9)</f>
        <v>868.7</v>
      </c>
      <c r="BU22" s="81">
        <f>(AL8-AL9)</f>
        <v>887.1</v>
      </c>
      <c r="BV22" s="81">
        <f>(AN8-AN9)</f>
        <v>952.4</v>
      </c>
      <c r="BW22" s="81">
        <f>(AP8-AP9)</f>
        <v>-796.8</v>
      </c>
      <c r="BX22" s="81">
        <f>(AR8-AR9)</f>
        <v>950.8</v>
      </c>
      <c r="BY22" s="81">
        <f>(AT8-AT9)</f>
        <v>932.5</v>
      </c>
      <c r="BZ22" s="81">
        <f>(AV8-AV9)</f>
        <v>885.3</v>
      </c>
      <c r="CA22" s="81">
        <f>(AX8-AX9)</f>
        <v>-806.2</v>
      </c>
      <c r="CB22" s="199"/>
      <c r="CC22" s="569">
        <v>204</v>
      </c>
      <c r="CD22" s="569" t="s">
        <v>338</v>
      </c>
      <c r="CE22" s="569">
        <v>119200</v>
      </c>
      <c r="CF22" s="569">
        <v>10300</v>
      </c>
      <c r="CG22" s="569">
        <v>0</v>
      </c>
      <c r="CH22" s="569">
        <v>26390</v>
      </c>
      <c r="CI22" s="267"/>
    </row>
    <row r="23" spans="1:87" ht="15.75" customHeight="1">
      <c r="A23" s="262"/>
      <c r="B23" s="262"/>
      <c r="C23" s="260" t="s">
        <v>142</v>
      </c>
      <c r="D23" s="798" t="s">
        <v>110</v>
      </c>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798"/>
      <c r="AG23" s="798"/>
      <c r="AH23" s="798"/>
      <c r="AI23" s="798"/>
      <c r="AJ23" s="798"/>
      <c r="AK23" s="798"/>
      <c r="AL23" s="798"/>
      <c r="AM23" s="798"/>
      <c r="AN23" s="798"/>
      <c r="AO23" s="798"/>
      <c r="AP23" s="798"/>
      <c r="AQ23" s="798"/>
      <c r="AR23" s="798"/>
      <c r="AS23" s="798"/>
      <c r="AT23" s="798"/>
      <c r="AU23" s="798"/>
      <c r="AV23" s="798"/>
      <c r="AW23" s="798"/>
      <c r="AX23" s="798"/>
      <c r="AY23" s="798"/>
      <c r="AZ23" s="798"/>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9">
        <v>60</v>
      </c>
      <c r="CD23" s="569" t="s">
        <v>339</v>
      </c>
      <c r="CE23" s="569"/>
      <c r="CF23" s="569"/>
      <c r="CG23" s="569"/>
      <c r="CH23" s="569"/>
      <c r="CI23" s="267"/>
    </row>
    <row r="24" spans="1:87" ht="27" customHeight="1">
      <c r="A24" s="262"/>
      <c r="B24" s="262"/>
      <c r="C24" s="260"/>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264"/>
      <c r="BB24" s="96">
        <v>5</v>
      </c>
      <c r="BC24" s="239" t="s">
        <v>18</v>
      </c>
      <c r="BD24" s="81" t="s">
        <v>299</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9">
        <v>64</v>
      </c>
      <c r="CD24" s="569" t="s">
        <v>340</v>
      </c>
      <c r="CE24" s="569">
        <v>84460</v>
      </c>
      <c r="CF24" s="569">
        <v>78000</v>
      </c>
      <c r="CG24" s="569">
        <v>0</v>
      </c>
      <c r="CH24" s="569">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9">
        <v>68</v>
      </c>
      <c r="CD25" s="569" t="s">
        <v>147</v>
      </c>
      <c r="CE25" s="569">
        <v>1259000</v>
      </c>
      <c r="CF25" s="569">
        <v>303500</v>
      </c>
      <c r="CG25" s="569">
        <v>259000</v>
      </c>
      <c r="CH25" s="569">
        <v>574000</v>
      </c>
      <c r="CI25" s="267"/>
    </row>
    <row r="26" spans="1:87" ht="36" customHeight="1">
      <c r="A26" s="262"/>
      <c r="B26" s="262"/>
      <c r="F26" s="779" t="str">
        <f>D8&amp;" (W1, 1)"</f>
        <v>Precipitation                               (W1, 1)</v>
      </c>
      <c r="G26" s="780"/>
      <c r="H26" s="780"/>
      <c r="I26" s="781"/>
      <c r="J26" s="273"/>
      <c r="K26" s="273"/>
      <c r="L26" s="273"/>
      <c r="M26" s="779" t="str">
        <f>D9&amp;"(W1, 2)"</f>
        <v>Actual evapotranspiration(W1, 2)</v>
      </c>
      <c r="N26" s="782"/>
      <c r="O26" s="782"/>
      <c r="P26" s="782"/>
      <c r="Q26" s="783"/>
      <c r="R26" s="271"/>
      <c r="S26" s="273"/>
      <c r="T26" s="273"/>
      <c r="U26" s="273"/>
      <c r="V26" s="273"/>
      <c r="W26" s="273"/>
      <c r="X26" s="273"/>
      <c r="Y26" s="273"/>
      <c r="Z26" s="273"/>
      <c r="AA26" s="272"/>
      <c r="AB26" s="799"/>
      <c r="AC26" s="799"/>
      <c r="AD26" s="799"/>
      <c r="AE26" s="799"/>
      <c r="AF26" s="274"/>
      <c r="AG26" s="274"/>
      <c r="AH26" s="274"/>
      <c r="AI26" s="274"/>
      <c r="AJ26" s="799"/>
      <c r="AK26" s="800"/>
      <c r="AL26" s="800"/>
      <c r="AM26" s="800"/>
      <c r="AN26" s="800"/>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9">
        <v>70</v>
      </c>
      <c r="CD26" s="569" t="s">
        <v>341</v>
      </c>
      <c r="CE26" s="569">
        <v>52640</v>
      </c>
      <c r="CF26" s="569">
        <v>35500</v>
      </c>
      <c r="CG26" s="569">
        <v>2000</v>
      </c>
      <c r="CH26" s="569">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486</v>
      </c>
      <c r="BD27" s="96" t="s">
        <v>299</v>
      </c>
      <c r="BE27" s="81">
        <f>F8</f>
        <v>886</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9">
        <v>72</v>
      </c>
      <c r="CD27" s="569" t="s">
        <v>342</v>
      </c>
      <c r="CE27" s="569">
        <v>242000</v>
      </c>
      <c r="CF27" s="569">
        <v>2400</v>
      </c>
      <c r="CG27" s="569">
        <v>9040</v>
      </c>
      <c r="CH27" s="569">
        <v>12240</v>
      </c>
      <c r="CI27" s="267"/>
    </row>
    <row r="28" spans="1:87" ht="14.25" customHeight="1">
      <c r="A28" s="262"/>
      <c r="B28" s="262"/>
      <c r="C28" s="260"/>
      <c r="D28" s="270"/>
      <c r="F28" s="276"/>
      <c r="G28" s="271"/>
      <c r="H28" s="779" t="str">
        <f>LEFT(D10,LEN(D10)-7)&amp;" (W1, 3)"</f>
        <v>Internal flow (W1, 3)</v>
      </c>
      <c r="I28" s="784"/>
      <c r="J28" s="784"/>
      <c r="K28" s="784"/>
      <c r="L28" s="784"/>
      <c r="M28" s="784"/>
      <c r="N28" s="784"/>
      <c r="O28" s="785"/>
      <c r="P28" s="272"/>
      <c r="Q28" s="272"/>
      <c r="R28" s="272"/>
      <c r="S28" s="272"/>
      <c r="T28" s="272"/>
      <c r="U28" s="272"/>
      <c r="V28" s="272"/>
      <c r="W28" s="272"/>
      <c r="X28" s="272"/>
      <c r="Y28" s="272"/>
      <c r="Z28" s="272"/>
      <c r="AA28" s="272"/>
      <c r="AB28" s="271"/>
      <c r="AC28" s="274"/>
      <c r="AD28" s="799"/>
      <c r="AE28" s="801"/>
      <c r="AF28" s="801"/>
      <c r="AG28" s="801"/>
      <c r="AH28" s="801"/>
      <c r="AI28" s="801"/>
      <c r="AJ28" s="801"/>
      <c r="AK28" s="801"/>
      <c r="AL28" s="801"/>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139900</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9">
        <v>76</v>
      </c>
      <c r="CD28" s="569" t="s">
        <v>343</v>
      </c>
      <c r="CE28" s="569">
        <v>14995000</v>
      </c>
      <c r="CF28" s="569">
        <v>5661000</v>
      </c>
      <c r="CG28" s="569">
        <v>2986000</v>
      </c>
      <c r="CH28" s="569">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779" t="str">
        <f>D13&amp;" (W1, 6)"</f>
        <v>Outflow of surface and groundwaters to neighbouring countries (W1, 6)</v>
      </c>
      <c r="W29" s="780"/>
      <c r="X29" s="780"/>
      <c r="Y29" s="780"/>
      <c r="Z29" s="780"/>
      <c r="AA29" s="781"/>
      <c r="AB29" s="274"/>
      <c r="AC29" s="274"/>
      <c r="AD29" s="274"/>
      <c r="AE29" s="274"/>
      <c r="AF29" s="274"/>
      <c r="AG29" s="274"/>
      <c r="AH29" s="274"/>
      <c r="AI29" s="274"/>
      <c r="AJ29" s="274"/>
      <c r="AK29" s="274"/>
      <c r="AL29" s="274"/>
      <c r="AM29" s="274"/>
      <c r="AN29" s="274"/>
      <c r="AO29" s="274"/>
      <c r="AP29" s="274"/>
      <c r="AQ29" s="274"/>
      <c r="AR29" s="274"/>
      <c r="AS29" s="274"/>
      <c r="AT29" s="799"/>
      <c r="AU29" s="799"/>
      <c r="AV29" s="799"/>
      <c r="AW29" s="799"/>
      <c r="AX29" s="799"/>
      <c r="AY29" s="799"/>
      <c r="AZ29" s="270"/>
      <c r="BA29" s="264"/>
      <c r="BB29" s="269" t="s">
        <v>176</v>
      </c>
      <c r="BC29" s="277" t="s">
        <v>219</v>
      </c>
      <c r="BD29" s="81" t="s">
        <v>299</v>
      </c>
      <c r="BE29" s="81">
        <f>ABS(BE27-BE28)</f>
        <v>139014</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9">
        <v>96</v>
      </c>
      <c r="CD29" s="569" t="s">
        <v>344</v>
      </c>
      <c r="CE29" s="569">
        <v>15710</v>
      </c>
      <c r="CF29" s="569">
        <v>8500</v>
      </c>
      <c r="CG29" s="569">
        <v>0</v>
      </c>
      <c r="CH29" s="569">
        <v>8500</v>
      </c>
      <c r="CI29" s="267"/>
    </row>
    <row r="30" spans="1:87" ht="44.25" customHeight="1">
      <c r="A30" s="262"/>
      <c r="B30" s="262"/>
      <c r="C30" s="260"/>
      <c r="D30" s="270"/>
      <c r="E30" s="270"/>
      <c r="F30" s="779" t="str">
        <f>D11&amp;" (W1, 4)"</f>
        <v>Inflow of surface and groundwaters from neighbouring countries (W1, 4)</v>
      </c>
      <c r="G30" s="786"/>
      <c r="H30" s="786"/>
      <c r="I30" s="787"/>
      <c r="J30" s="273"/>
      <c r="K30" s="273"/>
      <c r="L30" s="273"/>
      <c r="M30" s="779" t="str">
        <f>LEFT(D12,LEN(D12)-7)&amp;" (W1, 5)"</f>
        <v>Renewable freshwater resources (W1, 5)</v>
      </c>
      <c r="N30" s="788"/>
      <c r="O30" s="788"/>
      <c r="P30" s="789"/>
      <c r="Q30" s="273"/>
      <c r="R30" s="273"/>
      <c r="S30" s="273"/>
      <c r="T30" s="273"/>
      <c r="U30" s="273"/>
      <c r="V30" s="273"/>
      <c r="W30" s="273"/>
      <c r="X30" s="273"/>
      <c r="Y30" s="273"/>
      <c r="Z30" s="273"/>
      <c r="AA30" s="273"/>
      <c r="AB30" s="799"/>
      <c r="AC30" s="802"/>
      <c r="AD30" s="802"/>
      <c r="AE30" s="802"/>
      <c r="AF30" s="274"/>
      <c r="AG30" s="274"/>
      <c r="AH30" s="274"/>
      <c r="AI30" s="274"/>
      <c r="AJ30" s="274"/>
      <c r="AK30" s="799"/>
      <c r="AL30" s="814"/>
      <c r="AM30" s="814"/>
      <c r="AN30" s="814"/>
      <c r="AO30" s="274"/>
      <c r="AP30" s="274"/>
      <c r="AQ30" s="274"/>
      <c r="AR30" s="274"/>
      <c r="AS30" s="274"/>
      <c r="AT30" s="271"/>
      <c r="AU30" s="271"/>
      <c r="AV30" s="271"/>
      <c r="AW30" s="271"/>
      <c r="AX30" s="271"/>
      <c r="AY30" s="271"/>
      <c r="AZ30" s="274"/>
      <c r="BA30" s="264"/>
      <c r="BB30" s="81">
        <v>3</v>
      </c>
      <c r="BC30" s="230" t="s">
        <v>19</v>
      </c>
      <c r="BD30" s="81" t="s">
        <v>299</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9">
        <v>100</v>
      </c>
      <c r="CD30" s="569" t="s">
        <v>345</v>
      </c>
      <c r="CE30" s="569">
        <v>67490</v>
      </c>
      <c r="CF30" s="569">
        <v>21000</v>
      </c>
      <c r="CG30" s="569">
        <v>300</v>
      </c>
      <c r="CH30" s="569">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779" t="str">
        <f>D16&amp;" (W1, 9)"</f>
        <v>Outflow of surface and groundwaters to the sea (W1, 9)</v>
      </c>
      <c r="W31" s="780"/>
      <c r="X31" s="780"/>
      <c r="Y31" s="780"/>
      <c r="Z31" s="780"/>
      <c r="AA31" s="781"/>
      <c r="AB31" s="799"/>
      <c r="AC31" s="802"/>
      <c r="AD31" s="802"/>
      <c r="AE31" s="802"/>
      <c r="AF31" s="591"/>
      <c r="AG31" s="276"/>
      <c r="AH31" s="271"/>
      <c r="AI31" s="271"/>
      <c r="AJ31" s="271"/>
      <c r="AK31" s="799"/>
      <c r="AL31" s="814"/>
      <c r="AM31" s="814"/>
      <c r="AN31" s="814"/>
      <c r="AO31" s="593"/>
      <c r="AP31" s="593"/>
      <c r="AQ31" s="190"/>
      <c r="AR31" s="190"/>
      <c r="AS31" s="190"/>
      <c r="AT31" s="799"/>
      <c r="AU31" s="799"/>
      <c r="AV31" s="799"/>
      <c r="AW31" s="799"/>
      <c r="AX31" s="799"/>
      <c r="AY31" s="799"/>
      <c r="AZ31" s="280"/>
      <c r="BA31" s="264"/>
      <c r="BB31" s="281">
        <v>13</v>
      </c>
      <c r="BC31" s="266" t="s">
        <v>52</v>
      </c>
      <c r="BD31" s="81" t="s">
        <v>299</v>
      </c>
      <c r="BE31" s="81">
        <f>VLOOKUP(B3,CC7:CH183,4,FALSE)</f>
        <v>16140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9">
        <v>854</v>
      </c>
      <c r="CD31" s="569" t="s">
        <v>346</v>
      </c>
      <c r="CE31" s="569">
        <v>205100</v>
      </c>
      <c r="CF31" s="569">
        <v>12500</v>
      </c>
      <c r="CG31" s="569">
        <v>1000</v>
      </c>
      <c r="CH31" s="569">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16140</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9">
        <v>108</v>
      </c>
      <c r="CD32" s="569" t="s">
        <v>347</v>
      </c>
      <c r="CE32" s="569">
        <v>35460</v>
      </c>
      <c r="CF32" s="569">
        <v>10060</v>
      </c>
      <c r="CG32" s="569">
        <v>126</v>
      </c>
      <c r="CH32" s="569">
        <v>12540</v>
      </c>
      <c r="CI32" s="191"/>
    </row>
    <row r="33" spans="1:87" s="199" customFormat="1" ht="22.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9">
        <v>132</v>
      </c>
      <c r="CD33" s="569" t="s">
        <v>505</v>
      </c>
      <c r="CE33" s="569">
        <v>918.8</v>
      </c>
      <c r="CF33" s="569">
        <v>300</v>
      </c>
      <c r="CG33" s="569">
        <v>0</v>
      </c>
      <c r="CH33" s="56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1000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9">
        <v>116</v>
      </c>
      <c r="CD34" s="569" t="s">
        <v>348</v>
      </c>
      <c r="CE34" s="569">
        <v>344700</v>
      </c>
      <c r="CF34" s="569">
        <v>120600</v>
      </c>
      <c r="CG34" s="569">
        <v>355500</v>
      </c>
      <c r="CH34" s="569">
        <v>476100</v>
      </c>
    </row>
    <row r="35" spans="3:86" ht="18" customHeight="1">
      <c r="C35" s="294" t="s">
        <v>293</v>
      </c>
      <c r="D35" s="810" t="s">
        <v>296</v>
      </c>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2"/>
      <c r="BB35" s="269" t="s">
        <v>176</v>
      </c>
      <c r="BC35" s="266" t="s">
        <v>221</v>
      </c>
      <c r="BD35" s="81" t="s">
        <v>299</v>
      </c>
      <c r="BE35" s="81">
        <f>ABS(BE33-BE34)</f>
        <v>1000</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9">
        <v>120</v>
      </c>
      <c r="CD35" s="569" t="s">
        <v>349</v>
      </c>
      <c r="CE35" s="569">
        <v>762600</v>
      </c>
      <c r="CF35" s="569">
        <v>273000</v>
      </c>
      <c r="CG35" s="569">
        <v>4000</v>
      </c>
      <c r="CH35" s="569">
        <v>283100</v>
      </c>
    </row>
    <row r="36" spans="1:86" ht="18" customHeight="1">
      <c r="A36" s="162">
        <v>1</v>
      </c>
      <c r="B36" s="163">
        <v>-1</v>
      </c>
      <c r="C36" s="515" t="s">
        <v>649</v>
      </c>
      <c r="D36" s="795" t="s">
        <v>651</v>
      </c>
      <c r="E36" s="796"/>
      <c r="F36" s="796"/>
      <c r="G36" s="796"/>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6"/>
      <c r="AY36" s="796"/>
      <c r="AZ36" s="797"/>
      <c r="BB36" s="96">
        <v>5</v>
      </c>
      <c r="BC36" s="239" t="s">
        <v>18</v>
      </c>
      <c r="BD36" s="81" t="s">
        <v>299</v>
      </c>
      <c r="BE36" s="81">
        <f>F12</f>
        <v>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9">
        <v>140</v>
      </c>
      <c r="CD36" s="569" t="s">
        <v>350</v>
      </c>
      <c r="CE36" s="569">
        <v>836700</v>
      </c>
      <c r="CF36" s="569">
        <v>141000</v>
      </c>
      <c r="CG36" s="569">
        <v>0</v>
      </c>
      <c r="CH36" s="569">
        <v>141000</v>
      </c>
    </row>
    <row r="37" spans="1:86" ht="18" customHeight="1">
      <c r="A37" s="162">
        <v>1</v>
      </c>
      <c r="B37" s="163">
        <v>-1</v>
      </c>
      <c r="C37" s="515" t="s">
        <v>652</v>
      </c>
      <c r="D37" s="807" t="s">
        <v>653</v>
      </c>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8"/>
      <c r="AY37" s="808"/>
      <c r="AZ37" s="809"/>
      <c r="BB37" s="265">
        <v>15</v>
      </c>
      <c r="BC37" s="266" t="s">
        <v>53</v>
      </c>
      <c r="BD37" s="81" t="s">
        <v>299</v>
      </c>
      <c r="BE37" s="81">
        <f>VLOOKUP(B3,CC7:CH183,6,FALSE)</f>
        <v>17280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9">
        <v>148</v>
      </c>
      <c r="CD37" s="569" t="s">
        <v>351</v>
      </c>
      <c r="CE37" s="569">
        <v>413400</v>
      </c>
      <c r="CF37" s="569">
        <v>15000</v>
      </c>
      <c r="CG37" s="569">
        <v>30700</v>
      </c>
      <c r="CH37" s="569">
        <v>45700</v>
      </c>
    </row>
    <row r="38" spans="3:86" ht="18" customHeight="1">
      <c r="C38" s="515"/>
      <c r="D38" s="807"/>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8"/>
      <c r="AY38" s="808"/>
      <c r="AZ38" s="809"/>
      <c r="BB38" s="295" t="s">
        <v>176</v>
      </c>
      <c r="BC38" s="296" t="s">
        <v>222</v>
      </c>
      <c r="BD38" s="94" t="s">
        <v>299</v>
      </c>
      <c r="BE38" s="94">
        <f>ABS(BE36-BE37)</f>
        <v>17280</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9">
        <v>156</v>
      </c>
      <c r="CD38" s="569" t="s">
        <v>352</v>
      </c>
      <c r="CE38" s="569">
        <v>6192000</v>
      </c>
      <c r="CF38" s="569">
        <v>2813000</v>
      </c>
      <c r="CG38" s="569">
        <v>17170</v>
      </c>
      <c r="CH38" s="569">
        <v>2840000</v>
      </c>
    </row>
    <row r="39" spans="3:86" ht="18" customHeight="1">
      <c r="C39" s="515"/>
      <c r="D39" s="807"/>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8"/>
      <c r="AY39" s="808"/>
      <c r="AZ39" s="809"/>
      <c r="BB39" s="297" t="s">
        <v>55</v>
      </c>
      <c r="BC39" s="298" t="s">
        <v>56</v>
      </c>
      <c r="CB39" s="199"/>
      <c r="CC39" s="569">
        <v>344</v>
      </c>
      <c r="CD39" s="569" t="s">
        <v>353</v>
      </c>
      <c r="CE39" s="569"/>
      <c r="CF39" s="569"/>
      <c r="CG39" s="569"/>
      <c r="CH39" s="569"/>
    </row>
    <row r="40" spans="3:86"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8"/>
      <c r="AY40" s="808"/>
      <c r="AZ40" s="809"/>
      <c r="BB40" s="297" t="s">
        <v>57</v>
      </c>
      <c r="BC40" s="298" t="s">
        <v>58</v>
      </c>
      <c r="CC40" s="569">
        <v>446</v>
      </c>
      <c r="CD40" s="569" t="s">
        <v>354</v>
      </c>
      <c r="CE40" s="569"/>
      <c r="CF40" s="569"/>
      <c r="CG40" s="569"/>
      <c r="CH40" s="569"/>
    </row>
    <row r="41" spans="3:86"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8"/>
      <c r="AY41" s="808"/>
      <c r="AZ41" s="809"/>
      <c r="BB41" s="299" t="s">
        <v>60</v>
      </c>
      <c r="BC41" s="298" t="s">
        <v>62</v>
      </c>
      <c r="BD41" s="300"/>
      <c r="CC41" s="569">
        <v>170</v>
      </c>
      <c r="CD41" s="569" t="s">
        <v>355</v>
      </c>
      <c r="CE41" s="569">
        <v>3699000</v>
      </c>
      <c r="CF41" s="569">
        <v>2145000</v>
      </c>
      <c r="CG41" s="569">
        <v>215000</v>
      </c>
      <c r="CH41" s="569">
        <v>2360000</v>
      </c>
    </row>
    <row r="42" spans="3:86" ht="18" customHeight="1">
      <c r="C42" s="515"/>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8"/>
      <c r="AY42" s="808"/>
      <c r="AZ42" s="809"/>
      <c r="BB42" s="299" t="s">
        <v>59</v>
      </c>
      <c r="BC42" s="298" t="s">
        <v>12</v>
      </c>
      <c r="BD42" s="300"/>
      <c r="CC42" s="569">
        <v>174</v>
      </c>
      <c r="CD42" s="569" t="s">
        <v>356</v>
      </c>
      <c r="CE42" s="569">
        <v>1675</v>
      </c>
      <c r="CF42" s="569">
        <v>1200</v>
      </c>
      <c r="CG42" s="569">
        <v>0</v>
      </c>
      <c r="CH42" s="569">
        <v>1200</v>
      </c>
    </row>
    <row r="43" spans="3:86" ht="18" customHeight="1">
      <c r="C43" s="515"/>
      <c r="D43" s="807"/>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8"/>
      <c r="AU43" s="808"/>
      <c r="AV43" s="808"/>
      <c r="AW43" s="808"/>
      <c r="AX43" s="808"/>
      <c r="AY43" s="808"/>
      <c r="AZ43" s="809"/>
      <c r="BB43" s="297" t="s">
        <v>61</v>
      </c>
      <c r="BC43" s="298" t="s">
        <v>63</v>
      </c>
      <c r="BD43" s="300"/>
      <c r="CC43" s="569">
        <v>178</v>
      </c>
      <c r="CD43" s="569" t="s">
        <v>357</v>
      </c>
      <c r="CE43" s="569">
        <v>562900</v>
      </c>
      <c r="CF43" s="569">
        <v>222000</v>
      </c>
      <c r="CG43" s="569">
        <v>52000</v>
      </c>
      <c r="CH43" s="569">
        <v>832000</v>
      </c>
    </row>
    <row r="44" spans="3:86" ht="18" customHeight="1">
      <c r="C44" s="515"/>
      <c r="D44" s="807"/>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808"/>
      <c r="AV44" s="808"/>
      <c r="AW44" s="808"/>
      <c r="AX44" s="808"/>
      <c r="AY44" s="808"/>
      <c r="AZ44" s="809"/>
      <c r="BD44" s="300"/>
      <c r="CC44" s="569">
        <v>188</v>
      </c>
      <c r="CD44" s="569" t="s">
        <v>358</v>
      </c>
      <c r="CE44" s="569">
        <v>149500</v>
      </c>
      <c r="CF44" s="569">
        <v>113000</v>
      </c>
      <c r="CG44" s="569">
        <v>0</v>
      </c>
      <c r="CH44" s="569">
        <v>113000</v>
      </c>
    </row>
    <row r="45" spans="3:86" ht="18" customHeight="1">
      <c r="C45" s="515"/>
      <c r="D45" s="807"/>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8"/>
      <c r="AZ45" s="809"/>
      <c r="CC45" s="569">
        <v>384</v>
      </c>
      <c r="CD45" s="569" t="s">
        <v>148</v>
      </c>
      <c r="CE45" s="569">
        <v>434700</v>
      </c>
      <c r="CF45" s="569">
        <v>76840</v>
      </c>
      <c r="CG45" s="569">
        <v>4300</v>
      </c>
      <c r="CH45" s="569">
        <v>84140</v>
      </c>
    </row>
    <row r="46" spans="3:86" ht="18" customHeight="1">
      <c r="C46" s="515"/>
      <c r="D46" s="807"/>
      <c r="E46" s="808"/>
      <c r="F46" s="808"/>
      <c r="G46" s="808"/>
      <c r="H46" s="808"/>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8"/>
      <c r="AH46" s="808"/>
      <c r="AI46" s="808"/>
      <c r="AJ46" s="808"/>
      <c r="AK46" s="808"/>
      <c r="AL46" s="808"/>
      <c r="AM46" s="808"/>
      <c r="AN46" s="808"/>
      <c r="AO46" s="808"/>
      <c r="AP46" s="808"/>
      <c r="AQ46" s="808"/>
      <c r="AR46" s="808"/>
      <c r="AS46" s="808"/>
      <c r="AT46" s="808"/>
      <c r="AU46" s="808"/>
      <c r="AV46" s="808"/>
      <c r="AW46" s="808"/>
      <c r="AX46" s="808"/>
      <c r="AY46" s="808"/>
      <c r="AZ46" s="809"/>
      <c r="BD46" s="300"/>
      <c r="CC46" s="569">
        <v>191</v>
      </c>
      <c r="CD46" s="569" t="s">
        <v>359</v>
      </c>
      <c r="CE46" s="569">
        <v>62980</v>
      </c>
      <c r="CF46" s="569">
        <v>37700</v>
      </c>
      <c r="CG46" s="569">
        <v>33470</v>
      </c>
      <c r="CH46" s="569">
        <v>105500</v>
      </c>
    </row>
    <row r="47" spans="3:86" ht="18" customHeight="1">
      <c r="C47" s="515"/>
      <c r="D47" s="807"/>
      <c r="E47" s="808"/>
      <c r="F47" s="808"/>
      <c r="G47" s="808"/>
      <c r="H47" s="808"/>
      <c r="I47" s="808"/>
      <c r="J47" s="808"/>
      <c r="K47" s="808"/>
      <c r="L47" s="808"/>
      <c r="M47" s="808"/>
      <c r="N47" s="808"/>
      <c r="O47" s="808"/>
      <c r="P47" s="808"/>
      <c r="Q47" s="808"/>
      <c r="R47" s="808"/>
      <c r="S47" s="808"/>
      <c r="T47" s="808"/>
      <c r="U47" s="808"/>
      <c r="V47" s="808"/>
      <c r="W47" s="808"/>
      <c r="X47" s="808"/>
      <c r="Y47" s="808"/>
      <c r="Z47" s="808"/>
      <c r="AA47" s="808"/>
      <c r="AB47" s="808"/>
      <c r="AC47" s="808"/>
      <c r="AD47" s="808"/>
      <c r="AE47" s="808"/>
      <c r="AF47" s="808"/>
      <c r="AG47" s="808"/>
      <c r="AH47" s="808"/>
      <c r="AI47" s="808"/>
      <c r="AJ47" s="808"/>
      <c r="AK47" s="808"/>
      <c r="AL47" s="808"/>
      <c r="AM47" s="808"/>
      <c r="AN47" s="808"/>
      <c r="AO47" s="808"/>
      <c r="AP47" s="808"/>
      <c r="AQ47" s="808"/>
      <c r="AR47" s="808"/>
      <c r="AS47" s="808"/>
      <c r="AT47" s="808"/>
      <c r="AU47" s="808"/>
      <c r="AV47" s="808"/>
      <c r="AW47" s="808"/>
      <c r="AX47" s="808"/>
      <c r="AY47" s="808"/>
      <c r="AZ47" s="809"/>
      <c r="BB47" s="300"/>
      <c r="BC47" s="300"/>
      <c r="BD47" s="300"/>
      <c r="CC47" s="569">
        <v>192</v>
      </c>
      <c r="CD47" s="569" t="s">
        <v>360</v>
      </c>
      <c r="CE47" s="569">
        <v>146700</v>
      </c>
      <c r="CF47" s="569">
        <v>38120</v>
      </c>
      <c r="CG47" s="569">
        <v>0</v>
      </c>
      <c r="CH47" s="569">
        <v>38120</v>
      </c>
    </row>
    <row r="48" spans="3:86" ht="18" customHeight="1">
      <c r="C48" s="515"/>
      <c r="D48" s="807"/>
      <c r="E48" s="808"/>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8"/>
      <c r="AU48" s="808"/>
      <c r="AV48" s="808"/>
      <c r="AW48" s="808"/>
      <c r="AX48" s="808"/>
      <c r="AY48" s="808"/>
      <c r="AZ48" s="809"/>
      <c r="CC48" s="569">
        <v>196</v>
      </c>
      <c r="CD48" s="569" t="s">
        <v>361</v>
      </c>
      <c r="CE48" s="569">
        <v>4606</v>
      </c>
      <c r="CF48" s="569">
        <v>780</v>
      </c>
      <c r="CG48" s="569">
        <v>0</v>
      </c>
      <c r="CH48" s="569">
        <v>780</v>
      </c>
    </row>
    <row r="49" spans="3:86" ht="18" customHeight="1">
      <c r="C49" s="515"/>
      <c r="D49" s="807"/>
      <c r="E49" s="808"/>
      <c r="F49" s="808"/>
      <c r="G49" s="808"/>
      <c r="H49" s="808"/>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8"/>
      <c r="AG49" s="808"/>
      <c r="AH49" s="808"/>
      <c r="AI49" s="808"/>
      <c r="AJ49" s="808"/>
      <c r="AK49" s="808"/>
      <c r="AL49" s="808"/>
      <c r="AM49" s="808"/>
      <c r="AN49" s="808"/>
      <c r="AO49" s="808"/>
      <c r="AP49" s="808"/>
      <c r="AQ49" s="808"/>
      <c r="AR49" s="808"/>
      <c r="AS49" s="808"/>
      <c r="AT49" s="808"/>
      <c r="AU49" s="808"/>
      <c r="AV49" s="808"/>
      <c r="AW49" s="808"/>
      <c r="AX49" s="808"/>
      <c r="AY49" s="808"/>
      <c r="AZ49" s="809"/>
      <c r="CC49" s="569">
        <v>408</v>
      </c>
      <c r="CD49" s="569" t="s">
        <v>149</v>
      </c>
      <c r="CE49" s="569">
        <v>127000</v>
      </c>
      <c r="CF49" s="569">
        <v>67000</v>
      </c>
      <c r="CG49" s="569">
        <v>0</v>
      </c>
      <c r="CH49" s="569">
        <v>77150</v>
      </c>
    </row>
    <row r="50" spans="3:86" ht="18" customHeight="1">
      <c r="C50" s="515"/>
      <c r="D50" s="807"/>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8"/>
      <c r="AY50" s="808"/>
      <c r="AZ50" s="809"/>
      <c r="CC50" s="569">
        <v>180</v>
      </c>
      <c r="CD50" s="569" t="s">
        <v>150</v>
      </c>
      <c r="CE50" s="569">
        <v>3618000</v>
      </c>
      <c r="CF50" s="569">
        <v>900000</v>
      </c>
      <c r="CG50" s="569">
        <v>383000</v>
      </c>
      <c r="CH50" s="569">
        <v>1283000</v>
      </c>
    </row>
    <row r="51" spans="3:86" ht="18" customHeight="1">
      <c r="C51" s="515"/>
      <c r="D51" s="807"/>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8"/>
      <c r="AY51" s="808"/>
      <c r="AZ51" s="809"/>
      <c r="CC51" s="569">
        <v>262</v>
      </c>
      <c r="CD51" s="569" t="s">
        <v>362</v>
      </c>
      <c r="CE51" s="569">
        <v>5104</v>
      </c>
      <c r="CF51" s="569">
        <v>300</v>
      </c>
      <c r="CG51" s="569">
        <v>0</v>
      </c>
      <c r="CH51" s="569">
        <v>300</v>
      </c>
    </row>
    <row r="52" spans="3:86"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8"/>
      <c r="AY52" s="808"/>
      <c r="AZ52" s="809"/>
      <c r="CC52" s="569">
        <v>212</v>
      </c>
      <c r="CD52" s="569" t="s">
        <v>363</v>
      </c>
      <c r="CE52" s="569">
        <v>1562</v>
      </c>
      <c r="CF52" s="569">
        <v>200</v>
      </c>
      <c r="CG52" s="569">
        <v>0</v>
      </c>
      <c r="CH52" s="569">
        <v>200</v>
      </c>
    </row>
    <row r="53" spans="3:86"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8"/>
      <c r="AY53" s="808"/>
      <c r="AZ53" s="809"/>
      <c r="CC53" s="569">
        <v>214</v>
      </c>
      <c r="CD53" s="569" t="s">
        <v>364</v>
      </c>
      <c r="CE53" s="569">
        <v>68620</v>
      </c>
      <c r="CF53" s="569">
        <v>23500</v>
      </c>
      <c r="CG53" s="569">
        <v>0</v>
      </c>
      <c r="CH53" s="569">
        <v>23500</v>
      </c>
    </row>
    <row r="54" spans="3:86"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8"/>
      <c r="AY54" s="808"/>
      <c r="AZ54" s="809"/>
      <c r="CC54" s="569">
        <v>218</v>
      </c>
      <c r="CD54" s="569" t="s">
        <v>365</v>
      </c>
      <c r="CE54" s="569">
        <v>583000</v>
      </c>
      <c r="CF54" s="569">
        <v>442400</v>
      </c>
      <c r="CG54" s="569">
        <v>0</v>
      </c>
      <c r="CH54" s="569">
        <v>442400</v>
      </c>
    </row>
    <row r="55" spans="3:86"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8"/>
      <c r="AY55" s="808"/>
      <c r="AZ55" s="809"/>
      <c r="CC55" s="569">
        <v>818</v>
      </c>
      <c r="CD55" s="569" t="s">
        <v>366</v>
      </c>
      <c r="CE55" s="569">
        <v>51070</v>
      </c>
      <c r="CF55" s="569">
        <v>1800</v>
      </c>
      <c r="CG55" s="569">
        <v>84000</v>
      </c>
      <c r="CH55" s="569">
        <v>58300</v>
      </c>
    </row>
    <row r="56" spans="3:86"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8"/>
      <c r="AY56" s="808"/>
      <c r="AZ56" s="809"/>
      <c r="CC56" s="569">
        <v>222</v>
      </c>
      <c r="CD56" s="569" t="s">
        <v>367</v>
      </c>
      <c r="CE56" s="569">
        <v>37540</v>
      </c>
      <c r="CF56" s="569">
        <v>15630</v>
      </c>
      <c r="CG56" s="569">
        <v>10640</v>
      </c>
      <c r="CH56" s="569">
        <v>26270</v>
      </c>
    </row>
    <row r="57" spans="3:86" ht="20.25" customHeight="1">
      <c r="C57" s="516"/>
      <c r="D57" s="817"/>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8"/>
      <c r="AZ57" s="819"/>
      <c r="CC57" s="569">
        <v>226</v>
      </c>
      <c r="CD57" s="569" t="s">
        <v>368</v>
      </c>
      <c r="CE57" s="569">
        <v>60480</v>
      </c>
      <c r="CF57" s="569">
        <v>26000</v>
      </c>
      <c r="CG57" s="569">
        <v>0</v>
      </c>
      <c r="CH57" s="569">
        <v>26000</v>
      </c>
    </row>
    <row r="58" spans="3:86" ht="16.5" customHeight="1">
      <c r="C58" s="815"/>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301"/>
      <c r="AQ58" s="301"/>
      <c r="AR58" s="301"/>
      <c r="AS58" s="301"/>
      <c r="CC58" s="569">
        <v>232</v>
      </c>
      <c r="CD58" s="569" t="s">
        <v>369</v>
      </c>
      <c r="CE58" s="569">
        <v>45160</v>
      </c>
      <c r="CF58" s="569">
        <v>2800</v>
      </c>
      <c r="CG58" s="569">
        <v>700</v>
      </c>
      <c r="CH58" s="569">
        <v>7315</v>
      </c>
    </row>
    <row r="59" spans="3:86" ht="12.75">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c r="AN59" s="816"/>
      <c r="AO59" s="816"/>
      <c r="AP59" s="301"/>
      <c r="AQ59" s="301"/>
      <c r="AR59" s="301"/>
      <c r="AS59" s="301"/>
      <c r="CC59" s="569">
        <v>231</v>
      </c>
      <c r="CD59" s="569" t="s">
        <v>370</v>
      </c>
      <c r="CE59" s="569">
        <v>936400</v>
      </c>
      <c r="CF59" s="569">
        <v>122000</v>
      </c>
      <c r="CG59" s="569">
        <v>0</v>
      </c>
      <c r="CH59" s="569">
        <v>122000</v>
      </c>
    </row>
    <row r="60" spans="81:86" ht="12.75">
      <c r="CC60" s="569">
        <v>234</v>
      </c>
      <c r="CD60" s="569" t="s">
        <v>506</v>
      </c>
      <c r="CE60" s="569"/>
      <c r="CF60" s="569"/>
      <c r="CG60" s="569">
        <v>0</v>
      </c>
      <c r="CH60" s="569"/>
    </row>
    <row r="61" spans="81:86" ht="12.75">
      <c r="CC61" s="569">
        <v>242</v>
      </c>
      <c r="CD61" s="569" t="s">
        <v>371</v>
      </c>
      <c r="CE61" s="569">
        <v>47360</v>
      </c>
      <c r="CF61" s="569">
        <v>28550</v>
      </c>
      <c r="CG61" s="569">
        <v>0</v>
      </c>
      <c r="CH61" s="569">
        <v>28550</v>
      </c>
    </row>
    <row r="62" spans="81:86" ht="12.75">
      <c r="CC62" s="569">
        <v>254</v>
      </c>
      <c r="CD62" s="569" t="s">
        <v>372</v>
      </c>
      <c r="CE62" s="569"/>
      <c r="CF62" s="569"/>
      <c r="CG62" s="569"/>
      <c r="CH62" s="569"/>
    </row>
    <row r="63" spans="81:86" ht="12.75">
      <c r="CC63" s="569">
        <v>266</v>
      </c>
      <c r="CD63" s="569" t="s">
        <v>373</v>
      </c>
      <c r="CE63" s="569">
        <v>490100</v>
      </c>
      <c r="CF63" s="569">
        <v>164000</v>
      </c>
      <c r="CG63" s="569">
        <v>2000</v>
      </c>
      <c r="CH63" s="569">
        <v>166000</v>
      </c>
    </row>
    <row r="64" spans="81:86" ht="12.75">
      <c r="CC64" s="569">
        <v>270</v>
      </c>
      <c r="CD64" s="569" t="s">
        <v>374</v>
      </c>
      <c r="CE64" s="569">
        <v>9447</v>
      </c>
      <c r="CF64" s="569">
        <v>3000</v>
      </c>
      <c r="CG64" s="569">
        <v>5000</v>
      </c>
      <c r="CH64" s="569">
        <v>8000</v>
      </c>
    </row>
    <row r="65" spans="81:86" ht="12.75">
      <c r="CC65" s="569">
        <v>268</v>
      </c>
      <c r="CD65" s="569" t="s">
        <v>375</v>
      </c>
      <c r="CE65" s="569">
        <v>71510</v>
      </c>
      <c r="CF65" s="569">
        <v>58130</v>
      </c>
      <c r="CG65" s="569">
        <v>8350</v>
      </c>
      <c r="CH65" s="569">
        <v>63330</v>
      </c>
    </row>
    <row r="66" spans="81:86" ht="12.75">
      <c r="CC66" s="569">
        <v>288</v>
      </c>
      <c r="CD66" s="569" t="s">
        <v>376</v>
      </c>
      <c r="CE66" s="569">
        <v>283100</v>
      </c>
      <c r="CF66" s="569">
        <v>30300</v>
      </c>
      <c r="CG66" s="569">
        <v>25900</v>
      </c>
      <c r="CH66" s="569">
        <v>56200</v>
      </c>
    </row>
    <row r="67" spans="81:86" ht="12.75">
      <c r="CC67" s="569">
        <v>304</v>
      </c>
      <c r="CD67" s="569" t="s">
        <v>377</v>
      </c>
      <c r="CE67" s="569"/>
      <c r="CF67" s="569"/>
      <c r="CG67" s="569"/>
      <c r="CH67" s="569"/>
    </row>
    <row r="68" spans="81:86" ht="12.75">
      <c r="CC68" s="569">
        <v>308</v>
      </c>
      <c r="CD68" s="569" t="s">
        <v>378</v>
      </c>
      <c r="CE68" s="569">
        <v>799</v>
      </c>
      <c r="CF68" s="569">
        <v>200</v>
      </c>
      <c r="CG68" s="569">
        <v>0</v>
      </c>
      <c r="CH68" s="569">
        <v>200</v>
      </c>
    </row>
    <row r="69" spans="81:86" ht="12.75">
      <c r="CC69" s="569">
        <v>312</v>
      </c>
      <c r="CD69" s="569" t="s">
        <v>379</v>
      </c>
      <c r="CE69" s="569"/>
      <c r="CF69" s="569"/>
      <c r="CG69" s="569"/>
      <c r="CH69" s="569"/>
    </row>
    <row r="70" spans="81:86" ht="12.75">
      <c r="CC70" s="569">
        <v>320</v>
      </c>
      <c r="CD70" s="569" t="s">
        <v>380</v>
      </c>
      <c r="CE70" s="569">
        <v>217300</v>
      </c>
      <c r="CF70" s="569">
        <v>109200</v>
      </c>
      <c r="CG70" s="569">
        <v>18710</v>
      </c>
      <c r="CH70" s="569">
        <v>127900</v>
      </c>
    </row>
    <row r="71" spans="81:86" ht="12.75">
      <c r="CC71" s="569">
        <v>324</v>
      </c>
      <c r="CD71" s="569" t="s">
        <v>381</v>
      </c>
      <c r="CE71" s="569">
        <v>405900</v>
      </c>
      <c r="CF71" s="569">
        <v>226000</v>
      </c>
      <c r="CG71" s="569">
        <v>0</v>
      </c>
      <c r="CH71" s="569">
        <v>226000</v>
      </c>
    </row>
    <row r="72" spans="81:86" ht="12.75">
      <c r="CC72" s="569">
        <v>624</v>
      </c>
      <c r="CD72" s="569" t="s">
        <v>382</v>
      </c>
      <c r="CE72" s="569">
        <v>56980</v>
      </c>
      <c r="CF72" s="569">
        <v>16000</v>
      </c>
      <c r="CG72" s="569">
        <v>15400</v>
      </c>
      <c r="CH72" s="569">
        <v>31400</v>
      </c>
    </row>
    <row r="73" spans="81:86" ht="12.75">
      <c r="CC73" s="569">
        <v>328</v>
      </c>
      <c r="CD73" s="569" t="s">
        <v>387</v>
      </c>
      <c r="CE73" s="569">
        <v>513100</v>
      </c>
      <c r="CF73" s="569">
        <v>241000</v>
      </c>
      <c r="CG73" s="569">
        <v>30000</v>
      </c>
      <c r="CH73" s="569">
        <v>271000</v>
      </c>
    </row>
    <row r="74" spans="81:86" ht="12.75">
      <c r="CC74" s="569">
        <v>332</v>
      </c>
      <c r="CD74" s="569" t="s">
        <v>388</v>
      </c>
      <c r="CE74" s="569">
        <v>39960</v>
      </c>
      <c r="CF74" s="569">
        <v>13010</v>
      </c>
      <c r="CG74" s="569">
        <v>1014.9999999999999</v>
      </c>
      <c r="CH74" s="569">
        <v>14030</v>
      </c>
    </row>
    <row r="75" spans="81:86" ht="12.75">
      <c r="CC75" s="569">
        <v>336</v>
      </c>
      <c r="CD75" s="569" t="s">
        <v>507</v>
      </c>
      <c r="CE75" s="569"/>
      <c r="CF75" s="569"/>
      <c r="CG75" s="569"/>
      <c r="CH75" s="569"/>
    </row>
    <row r="76" spans="81:86" ht="12.75">
      <c r="CC76" s="569">
        <v>340</v>
      </c>
      <c r="CD76" s="569" t="s">
        <v>389</v>
      </c>
      <c r="CE76" s="569">
        <v>222300</v>
      </c>
      <c r="CF76" s="569">
        <v>90660</v>
      </c>
      <c r="CG76" s="569">
        <v>1504</v>
      </c>
      <c r="CH76" s="569">
        <v>92160</v>
      </c>
    </row>
    <row r="77" spans="81:86" ht="12.75">
      <c r="CC77" s="569">
        <v>356</v>
      </c>
      <c r="CD77" s="569" t="s">
        <v>390</v>
      </c>
      <c r="CE77" s="569">
        <v>3560000</v>
      </c>
      <c r="CF77" s="569">
        <v>1446000</v>
      </c>
      <c r="CG77" s="569">
        <v>635200</v>
      </c>
      <c r="CH77" s="569">
        <v>1911000</v>
      </c>
    </row>
    <row r="78" spans="81:86" ht="12.75">
      <c r="CC78" s="569">
        <v>360</v>
      </c>
      <c r="CD78" s="569" t="s">
        <v>391</v>
      </c>
      <c r="CE78" s="569">
        <v>5163000</v>
      </c>
      <c r="CF78" s="569">
        <v>2019000</v>
      </c>
      <c r="CG78" s="569">
        <v>0</v>
      </c>
      <c r="CH78" s="569">
        <v>2019000</v>
      </c>
    </row>
    <row r="79" spans="81:86" ht="12.75">
      <c r="CC79" s="569">
        <v>364</v>
      </c>
      <c r="CD79" s="569" t="s">
        <v>392</v>
      </c>
      <c r="CE79" s="569">
        <v>397900</v>
      </c>
      <c r="CF79" s="569">
        <v>128500</v>
      </c>
      <c r="CG79" s="569">
        <v>7770</v>
      </c>
      <c r="CH79" s="569">
        <v>137000</v>
      </c>
    </row>
    <row r="80" spans="81:86" ht="12.75">
      <c r="CC80" s="569">
        <v>368</v>
      </c>
      <c r="CD80" s="569" t="s">
        <v>393</v>
      </c>
      <c r="CE80" s="569">
        <v>93970</v>
      </c>
      <c r="CF80" s="569">
        <v>35200</v>
      </c>
      <c r="CG80" s="569">
        <v>61330</v>
      </c>
      <c r="CH80" s="569">
        <v>89860</v>
      </c>
    </row>
    <row r="81" spans="81:86" ht="12.75">
      <c r="CC81" s="569">
        <v>376</v>
      </c>
      <c r="CD81" s="569" t="s">
        <v>394</v>
      </c>
      <c r="CE81" s="569">
        <v>9600</v>
      </c>
      <c r="CF81" s="569">
        <v>750</v>
      </c>
      <c r="CG81" s="569">
        <v>305</v>
      </c>
      <c r="CH81" s="569">
        <v>1780</v>
      </c>
    </row>
    <row r="82" spans="81:86" ht="12.75">
      <c r="CC82" s="569">
        <v>388</v>
      </c>
      <c r="CD82" s="569" t="s">
        <v>395</v>
      </c>
      <c r="CE82" s="569">
        <v>22540</v>
      </c>
      <c r="CF82" s="569">
        <v>10820</v>
      </c>
      <c r="CG82" s="569">
        <v>0</v>
      </c>
      <c r="CH82" s="569">
        <v>10820</v>
      </c>
    </row>
    <row r="83" spans="81:86" ht="12.75">
      <c r="CC83" s="569">
        <v>400</v>
      </c>
      <c r="CD83" s="569" t="s">
        <v>396</v>
      </c>
      <c r="CE83" s="569">
        <v>9915</v>
      </c>
      <c r="CF83" s="569">
        <v>682</v>
      </c>
      <c r="CG83" s="569">
        <v>400</v>
      </c>
      <c r="CH83" s="569">
        <v>937</v>
      </c>
    </row>
    <row r="84" spans="81:86" ht="12.75">
      <c r="CC84" s="569">
        <v>398</v>
      </c>
      <c r="CD84" s="569" t="s">
        <v>397</v>
      </c>
      <c r="CE84" s="569">
        <v>681200</v>
      </c>
      <c r="CF84" s="569">
        <v>64349.99999999999</v>
      </c>
      <c r="CG84" s="569">
        <v>72040</v>
      </c>
      <c r="CH84" s="569">
        <v>108400</v>
      </c>
    </row>
    <row r="85" spans="81:86" ht="12.75">
      <c r="CC85" s="569">
        <v>404</v>
      </c>
      <c r="CD85" s="569" t="s">
        <v>398</v>
      </c>
      <c r="CE85" s="569">
        <v>365600</v>
      </c>
      <c r="CF85" s="569">
        <v>20700</v>
      </c>
      <c r="CG85" s="569">
        <v>10000</v>
      </c>
      <c r="CH85" s="569">
        <v>30700</v>
      </c>
    </row>
    <row r="86" spans="81:86" ht="12.75">
      <c r="CC86" s="569">
        <v>296</v>
      </c>
      <c r="CD86" s="569" t="s">
        <v>151</v>
      </c>
      <c r="CE86" s="569"/>
      <c r="CF86" s="569"/>
      <c r="CG86" s="569">
        <v>0</v>
      </c>
      <c r="CH86" s="569"/>
    </row>
    <row r="87" spans="81:86" ht="12.75">
      <c r="CC87" s="569">
        <v>414</v>
      </c>
      <c r="CD87" s="569" t="s">
        <v>399</v>
      </c>
      <c r="CE87" s="569">
        <v>2156</v>
      </c>
      <c r="CF87" s="569">
        <v>0</v>
      </c>
      <c r="CG87" s="569">
        <v>0</v>
      </c>
      <c r="CH87" s="569">
        <v>20</v>
      </c>
    </row>
    <row r="88" spans="81:86" ht="12.75">
      <c r="CC88" s="569">
        <v>417</v>
      </c>
      <c r="CD88" s="569" t="s">
        <v>400</v>
      </c>
      <c r="CE88" s="569">
        <v>106600</v>
      </c>
      <c r="CF88" s="569">
        <v>48930</v>
      </c>
      <c r="CG88" s="569">
        <v>558</v>
      </c>
      <c r="CH88" s="569">
        <v>23620</v>
      </c>
    </row>
    <row r="89" spans="81:86" ht="12.75">
      <c r="CC89" s="569">
        <v>418</v>
      </c>
      <c r="CD89" s="569" t="s">
        <v>152</v>
      </c>
      <c r="CE89" s="569">
        <v>434300</v>
      </c>
      <c r="CF89" s="569">
        <v>190400</v>
      </c>
      <c r="CG89" s="569">
        <v>143100</v>
      </c>
      <c r="CH89" s="569">
        <v>333500</v>
      </c>
    </row>
    <row r="90" spans="81:86" ht="12.75">
      <c r="CC90" s="569">
        <v>428</v>
      </c>
      <c r="CD90" s="569" t="s">
        <v>401</v>
      </c>
      <c r="CE90" s="569">
        <v>43010</v>
      </c>
      <c r="CF90" s="569">
        <v>16940</v>
      </c>
      <c r="CG90" s="569">
        <v>18000</v>
      </c>
      <c r="CH90" s="569">
        <v>34940</v>
      </c>
    </row>
    <row r="91" spans="81:86" ht="12.75">
      <c r="CC91" s="569">
        <v>422</v>
      </c>
      <c r="CD91" s="569" t="s">
        <v>402</v>
      </c>
      <c r="CE91" s="569">
        <v>6907</v>
      </c>
      <c r="CF91" s="569">
        <v>4800</v>
      </c>
      <c r="CG91" s="569">
        <v>0</v>
      </c>
      <c r="CH91" s="569">
        <v>4503</v>
      </c>
    </row>
    <row r="92" spans="81:86" ht="12.75">
      <c r="CC92" s="569">
        <v>426</v>
      </c>
      <c r="CD92" s="569" t="s">
        <v>403</v>
      </c>
      <c r="CE92" s="569">
        <v>23920</v>
      </c>
      <c r="CF92" s="569">
        <v>5230</v>
      </c>
      <c r="CG92" s="569">
        <v>0</v>
      </c>
      <c r="CH92" s="569">
        <v>3022</v>
      </c>
    </row>
    <row r="93" spans="81:86" ht="12.75">
      <c r="CC93" s="569">
        <v>430</v>
      </c>
      <c r="CD93" s="569" t="s">
        <v>404</v>
      </c>
      <c r="CE93" s="569">
        <v>266300</v>
      </c>
      <c r="CF93" s="569">
        <v>200000</v>
      </c>
      <c r="CG93" s="569">
        <v>32000</v>
      </c>
      <c r="CH93" s="569">
        <v>232000</v>
      </c>
    </row>
    <row r="94" spans="81:86" ht="12.75">
      <c r="CC94" s="569">
        <v>434</v>
      </c>
      <c r="CD94" s="569" t="s">
        <v>153</v>
      </c>
      <c r="CE94" s="569">
        <v>98530</v>
      </c>
      <c r="CF94" s="569">
        <v>700</v>
      </c>
      <c r="CG94" s="569">
        <v>0</v>
      </c>
      <c r="CH94" s="569">
        <v>700</v>
      </c>
    </row>
    <row r="95" spans="81:86" ht="12.75">
      <c r="CC95" s="569">
        <v>438</v>
      </c>
      <c r="CD95" s="569" t="s">
        <v>154</v>
      </c>
      <c r="CE95" s="569"/>
      <c r="CF95" s="569"/>
      <c r="CG95" s="569"/>
      <c r="CH95" s="569"/>
    </row>
    <row r="96" spans="81:86" ht="12.75">
      <c r="CC96" s="569">
        <v>440</v>
      </c>
      <c r="CD96" s="569" t="s">
        <v>405</v>
      </c>
      <c r="CE96" s="569">
        <v>42830</v>
      </c>
      <c r="CF96" s="569">
        <v>15460</v>
      </c>
      <c r="CG96" s="569">
        <v>9040</v>
      </c>
      <c r="CH96" s="569">
        <v>24500</v>
      </c>
    </row>
    <row r="97" spans="81:86" ht="12.75">
      <c r="CC97" s="569">
        <v>450</v>
      </c>
      <c r="CD97" s="569" t="s">
        <v>406</v>
      </c>
      <c r="CE97" s="569">
        <v>888600</v>
      </c>
      <c r="CF97" s="569">
        <v>337000</v>
      </c>
      <c r="CG97" s="569">
        <v>0</v>
      </c>
      <c r="CH97" s="569">
        <v>337000</v>
      </c>
    </row>
    <row r="98" spans="81:86" ht="12.75">
      <c r="CC98" s="569">
        <v>454</v>
      </c>
      <c r="CD98" s="569" t="s">
        <v>407</v>
      </c>
      <c r="CE98" s="569">
        <v>139900</v>
      </c>
      <c r="CF98" s="569">
        <v>16140</v>
      </c>
      <c r="CG98" s="569">
        <v>1000</v>
      </c>
      <c r="CH98" s="569">
        <v>17280</v>
      </c>
    </row>
    <row r="99" spans="81:86" ht="12.75">
      <c r="CC99" s="569">
        <v>458</v>
      </c>
      <c r="CD99" s="569" t="s">
        <v>408</v>
      </c>
      <c r="CE99" s="569">
        <v>951000</v>
      </c>
      <c r="CF99" s="569">
        <v>580000</v>
      </c>
      <c r="CG99" s="569">
        <v>0</v>
      </c>
      <c r="CH99" s="569">
        <v>580000</v>
      </c>
    </row>
    <row r="100" spans="81:86" ht="12.75">
      <c r="CC100" s="569">
        <v>462</v>
      </c>
      <c r="CD100" s="569" t="s">
        <v>409</v>
      </c>
      <c r="CE100" s="569">
        <v>591.6</v>
      </c>
      <c r="CF100" s="569">
        <v>30</v>
      </c>
      <c r="CG100" s="569">
        <v>0</v>
      </c>
      <c r="CH100" s="569">
        <v>30</v>
      </c>
    </row>
    <row r="101" spans="81:86" ht="12.75">
      <c r="CC101" s="569">
        <v>466</v>
      </c>
      <c r="CD101" s="569" t="s">
        <v>410</v>
      </c>
      <c r="CE101" s="569">
        <v>349700</v>
      </c>
      <c r="CF101" s="569">
        <v>60000</v>
      </c>
      <c r="CG101" s="569">
        <v>60000</v>
      </c>
      <c r="CH101" s="569">
        <v>120000</v>
      </c>
    </row>
    <row r="102" spans="81:86" ht="12.75">
      <c r="CC102" s="569">
        <v>470</v>
      </c>
      <c r="CD102" s="569" t="s">
        <v>411</v>
      </c>
      <c r="CE102" s="569">
        <v>179.2</v>
      </c>
      <c r="CF102" s="569">
        <v>50.5</v>
      </c>
      <c r="CG102" s="569">
        <v>0</v>
      </c>
      <c r="CH102" s="569">
        <v>50.5</v>
      </c>
    </row>
    <row r="103" spans="81:86" ht="12.75">
      <c r="CC103" s="569">
        <v>584</v>
      </c>
      <c r="CD103" s="569" t="s">
        <v>155</v>
      </c>
      <c r="CE103" s="569"/>
      <c r="CF103" s="569"/>
      <c r="CG103" s="569">
        <v>0</v>
      </c>
      <c r="CH103" s="569"/>
    </row>
    <row r="104" spans="81:86" ht="12.75">
      <c r="CC104" s="569">
        <v>474</v>
      </c>
      <c r="CD104" s="569" t="s">
        <v>412</v>
      </c>
      <c r="CE104" s="569"/>
      <c r="CF104" s="569"/>
      <c r="CG104" s="569"/>
      <c r="CH104" s="569"/>
    </row>
    <row r="105" spans="81:86" ht="12.75">
      <c r="CC105" s="569">
        <v>478</v>
      </c>
      <c r="CD105" s="569" t="s">
        <v>413</v>
      </c>
      <c r="CE105" s="569">
        <v>94820</v>
      </c>
      <c r="CF105" s="569">
        <v>400</v>
      </c>
      <c r="CG105" s="569">
        <v>0</v>
      </c>
      <c r="CH105" s="569">
        <v>11400</v>
      </c>
    </row>
    <row r="106" spans="81:86" ht="12.75">
      <c r="CC106" s="569">
        <v>480</v>
      </c>
      <c r="CD106" s="569" t="s">
        <v>414</v>
      </c>
      <c r="CE106" s="569">
        <v>4164</v>
      </c>
      <c r="CF106" s="569">
        <v>2751</v>
      </c>
      <c r="CG106" s="569">
        <v>0</v>
      </c>
      <c r="CH106" s="569">
        <v>2751</v>
      </c>
    </row>
    <row r="107" spans="81:86" ht="12.75">
      <c r="CC107" s="569">
        <v>583</v>
      </c>
      <c r="CD107" s="569" t="s">
        <v>156</v>
      </c>
      <c r="CE107" s="569"/>
      <c r="CF107" s="569"/>
      <c r="CG107" s="569">
        <v>0</v>
      </c>
      <c r="CH107" s="569"/>
    </row>
    <row r="108" spans="81:86" ht="12.75">
      <c r="CC108" s="569">
        <v>492</v>
      </c>
      <c r="CD108" s="569" t="s">
        <v>157</v>
      </c>
      <c r="CE108" s="569"/>
      <c r="CF108" s="569"/>
      <c r="CG108" s="569"/>
      <c r="CH108" s="569"/>
    </row>
    <row r="109" spans="81:86" ht="12.75">
      <c r="CC109" s="569">
        <v>496</v>
      </c>
      <c r="CD109" s="569" t="s">
        <v>415</v>
      </c>
      <c r="CE109" s="569">
        <v>377000</v>
      </c>
      <c r="CF109" s="569">
        <v>34800</v>
      </c>
      <c r="CG109" s="569">
        <v>0</v>
      </c>
      <c r="CH109" s="569">
        <v>34800</v>
      </c>
    </row>
    <row r="110" spans="81:86" ht="12.75">
      <c r="CC110" s="569">
        <v>499</v>
      </c>
      <c r="CD110" s="569" t="s">
        <v>158</v>
      </c>
      <c r="CE110" s="569"/>
      <c r="CF110" s="569"/>
      <c r="CG110" s="569"/>
      <c r="CH110" s="569"/>
    </row>
    <row r="111" spans="81:86" ht="12.75">
      <c r="CC111" s="569">
        <v>504</v>
      </c>
      <c r="CD111" s="569" t="s">
        <v>416</v>
      </c>
      <c r="CE111" s="569">
        <v>154500</v>
      </c>
      <c r="CF111" s="569">
        <v>29000</v>
      </c>
      <c r="CG111" s="569">
        <v>0</v>
      </c>
      <c r="CH111" s="569">
        <v>29000</v>
      </c>
    </row>
    <row r="112" spans="81:86" ht="12.75">
      <c r="CC112" s="569">
        <v>508</v>
      </c>
      <c r="CD112" s="569" t="s">
        <v>417</v>
      </c>
      <c r="CE112" s="569">
        <v>825000</v>
      </c>
      <c r="CF112" s="569">
        <v>100300</v>
      </c>
      <c r="CG112" s="569">
        <v>116800</v>
      </c>
      <c r="CH112" s="569">
        <v>217100</v>
      </c>
    </row>
    <row r="113" spans="81:86" ht="12.75">
      <c r="CC113" s="569">
        <v>104</v>
      </c>
      <c r="CD113" s="569" t="s">
        <v>418</v>
      </c>
      <c r="CE113" s="569">
        <v>1415000</v>
      </c>
      <c r="CF113" s="569">
        <v>1003000</v>
      </c>
      <c r="CG113" s="569">
        <v>128199.99999999999</v>
      </c>
      <c r="CH113" s="569">
        <v>1168000</v>
      </c>
    </row>
    <row r="114" spans="81:86" ht="12.75">
      <c r="CC114" s="569">
        <v>516</v>
      </c>
      <c r="CD114" s="569" t="s">
        <v>419</v>
      </c>
      <c r="CE114" s="569">
        <v>234900</v>
      </c>
      <c r="CF114" s="569">
        <v>6160</v>
      </c>
      <c r="CG114" s="569">
        <v>11000</v>
      </c>
      <c r="CH114" s="569">
        <v>39910</v>
      </c>
    </row>
    <row r="115" spans="81:86" ht="12.75">
      <c r="CC115" s="569">
        <v>520</v>
      </c>
      <c r="CD115" s="569" t="s">
        <v>159</v>
      </c>
      <c r="CE115" s="569"/>
      <c r="CF115" s="569"/>
      <c r="CG115" s="569">
        <v>0</v>
      </c>
      <c r="CH115" s="569"/>
    </row>
    <row r="116" spans="81:86" ht="12.75">
      <c r="CC116" s="569">
        <v>524</v>
      </c>
      <c r="CD116" s="569" t="s">
        <v>420</v>
      </c>
      <c r="CE116" s="569">
        <v>220800</v>
      </c>
      <c r="CF116" s="569">
        <v>198200</v>
      </c>
      <c r="CG116" s="569">
        <v>12000</v>
      </c>
      <c r="CH116" s="569">
        <v>210200</v>
      </c>
    </row>
    <row r="117" spans="81:86" ht="12.75">
      <c r="CC117" s="569">
        <v>540</v>
      </c>
      <c r="CD117" s="569" t="s">
        <v>421</v>
      </c>
      <c r="CE117" s="569"/>
      <c r="CF117" s="569"/>
      <c r="CG117" s="569"/>
      <c r="CH117" s="569"/>
    </row>
    <row r="118" spans="81:86" ht="12.75">
      <c r="CC118" s="569">
        <v>558</v>
      </c>
      <c r="CD118" s="569" t="s">
        <v>422</v>
      </c>
      <c r="CE118" s="569">
        <v>297200</v>
      </c>
      <c r="CF118" s="569">
        <v>156200</v>
      </c>
      <c r="CG118" s="569">
        <v>8310</v>
      </c>
      <c r="CH118" s="569">
        <v>164500</v>
      </c>
    </row>
    <row r="119" spans="81:86" ht="12.75">
      <c r="CC119" s="569">
        <v>562</v>
      </c>
      <c r="CD119" s="569" t="s">
        <v>423</v>
      </c>
      <c r="CE119" s="569">
        <v>191300</v>
      </c>
      <c r="CF119" s="569">
        <v>3500</v>
      </c>
      <c r="CG119" s="569">
        <v>29200</v>
      </c>
      <c r="CH119" s="569">
        <v>34050</v>
      </c>
    </row>
    <row r="120" spans="81:86" ht="12.75">
      <c r="CC120" s="569">
        <v>566</v>
      </c>
      <c r="CD120" s="569" t="s">
        <v>424</v>
      </c>
      <c r="CE120" s="569">
        <v>1062000</v>
      </c>
      <c r="CF120" s="569">
        <v>221000</v>
      </c>
      <c r="CG120" s="569">
        <v>65200</v>
      </c>
      <c r="CH120" s="569">
        <v>286200</v>
      </c>
    </row>
    <row r="121" spans="81:86" ht="12.75">
      <c r="CC121" s="569">
        <v>570</v>
      </c>
      <c r="CD121" s="569" t="s">
        <v>508</v>
      </c>
      <c r="CE121" s="569"/>
      <c r="CF121" s="569"/>
      <c r="CG121" s="569">
        <v>0</v>
      </c>
      <c r="CH121" s="569"/>
    </row>
    <row r="122" spans="81:86" ht="12.75">
      <c r="CC122" s="569">
        <v>275</v>
      </c>
      <c r="CD122" s="569" t="s">
        <v>509</v>
      </c>
      <c r="CE122" s="569">
        <v>2420</v>
      </c>
      <c r="CF122" s="569">
        <v>812</v>
      </c>
      <c r="CG122" s="569">
        <v>15</v>
      </c>
      <c r="CH122" s="569">
        <v>837</v>
      </c>
    </row>
    <row r="123" spans="81:86" ht="12.75">
      <c r="CC123" s="569">
        <v>512</v>
      </c>
      <c r="CD123" s="569" t="s">
        <v>425</v>
      </c>
      <c r="CE123" s="569">
        <v>38690</v>
      </c>
      <c r="CF123" s="569">
        <v>1400</v>
      </c>
      <c r="CG123" s="569">
        <v>0</v>
      </c>
      <c r="CH123" s="569">
        <v>1400</v>
      </c>
    </row>
    <row r="124" spans="81:86" ht="12.75">
      <c r="CC124" s="569">
        <v>586</v>
      </c>
      <c r="CD124" s="569" t="s">
        <v>426</v>
      </c>
      <c r="CE124" s="569">
        <v>393300</v>
      </c>
      <c r="CF124" s="569">
        <v>55000</v>
      </c>
      <c r="CG124" s="569">
        <v>265100</v>
      </c>
      <c r="CH124" s="569">
        <v>246800</v>
      </c>
    </row>
    <row r="125" spans="81:86" ht="12.75">
      <c r="CC125" s="569">
        <v>585</v>
      </c>
      <c r="CD125" s="569" t="s">
        <v>160</v>
      </c>
      <c r="CE125" s="569"/>
      <c r="CF125" s="569"/>
      <c r="CG125" s="569">
        <v>0</v>
      </c>
      <c r="CH125" s="569"/>
    </row>
    <row r="126" spans="81:86" ht="12.75">
      <c r="CC126" s="569">
        <v>591</v>
      </c>
      <c r="CD126" s="569" t="s">
        <v>427</v>
      </c>
      <c r="CE126" s="569">
        <v>220800</v>
      </c>
      <c r="CF126" s="569">
        <v>136600</v>
      </c>
      <c r="CG126" s="569">
        <v>0</v>
      </c>
      <c r="CH126" s="569">
        <v>139300</v>
      </c>
    </row>
    <row r="127" spans="81:86" ht="12.75">
      <c r="CC127" s="569">
        <v>598</v>
      </c>
      <c r="CD127" s="569" t="s">
        <v>428</v>
      </c>
      <c r="CE127" s="569">
        <v>1454000</v>
      </c>
      <c r="CF127" s="569">
        <v>801000</v>
      </c>
      <c r="CG127" s="569">
        <v>0</v>
      </c>
      <c r="CH127" s="569">
        <v>801000</v>
      </c>
    </row>
    <row r="128" spans="81:86" ht="12.75">
      <c r="CC128" s="569">
        <v>600</v>
      </c>
      <c r="CD128" s="569" t="s">
        <v>429</v>
      </c>
      <c r="CE128" s="569">
        <v>459600</v>
      </c>
      <c r="CF128" s="569">
        <v>117000</v>
      </c>
      <c r="CG128" s="569">
        <v>73270</v>
      </c>
      <c r="CH128" s="569">
        <v>387800</v>
      </c>
    </row>
    <row r="129" spans="81:86" ht="12.75">
      <c r="CC129" s="569">
        <v>604</v>
      </c>
      <c r="CD129" s="569" t="s">
        <v>430</v>
      </c>
      <c r="CE129" s="569">
        <v>2234000</v>
      </c>
      <c r="CF129" s="569">
        <v>1641000</v>
      </c>
      <c r="CG129" s="569">
        <v>128800.00000000001</v>
      </c>
      <c r="CH129" s="569">
        <v>1880000</v>
      </c>
    </row>
    <row r="130" spans="81:86" ht="12.75">
      <c r="CC130" s="569">
        <v>608</v>
      </c>
      <c r="CD130" s="569" t="s">
        <v>431</v>
      </c>
      <c r="CE130" s="569">
        <v>704400</v>
      </c>
      <c r="CF130" s="569">
        <v>479000</v>
      </c>
      <c r="CG130" s="569">
        <v>0</v>
      </c>
      <c r="CH130" s="569">
        <v>479000</v>
      </c>
    </row>
    <row r="131" spans="81:86" ht="12.75">
      <c r="CC131" s="569">
        <v>630</v>
      </c>
      <c r="CD131" s="569" t="s">
        <v>432</v>
      </c>
      <c r="CE131" s="569">
        <v>18220</v>
      </c>
      <c r="CF131" s="569">
        <v>7100</v>
      </c>
      <c r="CG131" s="569">
        <v>0</v>
      </c>
      <c r="CH131" s="569">
        <v>7100</v>
      </c>
    </row>
    <row r="132" spans="81:86" ht="12.75">
      <c r="CC132" s="569">
        <v>634</v>
      </c>
      <c r="CD132" s="569" t="s">
        <v>433</v>
      </c>
      <c r="CE132" s="569">
        <v>859.1</v>
      </c>
      <c r="CF132" s="569">
        <v>56</v>
      </c>
      <c r="CG132" s="569">
        <v>0</v>
      </c>
      <c r="CH132" s="569">
        <v>58</v>
      </c>
    </row>
    <row r="133" spans="81:86" ht="12.75">
      <c r="CC133" s="569">
        <v>498</v>
      </c>
      <c r="CD133" s="569" t="s">
        <v>434</v>
      </c>
      <c r="CE133" s="569">
        <v>15230</v>
      </c>
      <c r="CF133" s="569">
        <v>1620</v>
      </c>
      <c r="CG133" s="569">
        <v>9200</v>
      </c>
      <c r="CH133" s="569">
        <v>12270</v>
      </c>
    </row>
    <row r="134" spans="81:86" ht="12.75">
      <c r="CC134" s="569">
        <v>638</v>
      </c>
      <c r="CD134" s="569" t="s">
        <v>435</v>
      </c>
      <c r="CE134" s="569"/>
      <c r="CF134" s="569"/>
      <c r="CG134" s="569"/>
      <c r="CH134" s="569"/>
    </row>
    <row r="135" spans="81:86" ht="12.75">
      <c r="CC135" s="569">
        <v>642</v>
      </c>
      <c r="CD135" s="569" t="s">
        <v>436</v>
      </c>
      <c r="CE135" s="569">
        <v>151900</v>
      </c>
      <c r="CF135" s="569">
        <v>42380</v>
      </c>
      <c r="CG135" s="569">
        <v>168100</v>
      </c>
      <c r="CH135" s="569">
        <v>212000</v>
      </c>
    </row>
    <row r="136" spans="81:86" ht="12.75">
      <c r="CC136" s="569">
        <v>643</v>
      </c>
      <c r="CD136" s="569" t="s">
        <v>441</v>
      </c>
      <c r="CE136" s="569">
        <v>7865000</v>
      </c>
      <c r="CF136" s="569">
        <v>4312000</v>
      </c>
      <c r="CG136" s="569">
        <v>204600</v>
      </c>
      <c r="CH136" s="569">
        <v>4525000</v>
      </c>
    </row>
    <row r="137" spans="81:86" ht="12.75">
      <c r="CC137" s="569">
        <v>646</v>
      </c>
      <c r="CD137" s="569" t="s">
        <v>442</v>
      </c>
      <c r="CE137" s="569">
        <v>31920</v>
      </c>
      <c r="CF137" s="569">
        <v>9500</v>
      </c>
      <c r="CG137" s="569">
        <v>3800</v>
      </c>
      <c r="CH137" s="569">
        <v>13300</v>
      </c>
    </row>
    <row r="138" spans="81:86" ht="12.75">
      <c r="CC138" s="569">
        <v>654</v>
      </c>
      <c r="CD138" s="569" t="s">
        <v>443</v>
      </c>
      <c r="CE138" s="569"/>
      <c r="CF138" s="569"/>
      <c r="CG138" s="569"/>
      <c r="CH138" s="569"/>
    </row>
    <row r="139" spans="81:86" ht="12.75">
      <c r="CC139" s="569">
        <v>659</v>
      </c>
      <c r="CD139" s="569" t="s">
        <v>444</v>
      </c>
      <c r="CE139" s="569">
        <v>371</v>
      </c>
      <c r="CF139" s="569">
        <v>24</v>
      </c>
      <c r="CG139" s="569">
        <v>0</v>
      </c>
      <c r="CH139" s="569">
        <v>24</v>
      </c>
    </row>
    <row r="140" spans="81:86" ht="12.75">
      <c r="CC140" s="569">
        <v>662</v>
      </c>
      <c r="CD140" s="569" t="s">
        <v>445</v>
      </c>
      <c r="CE140" s="569">
        <v>1427</v>
      </c>
      <c r="CF140" s="569">
        <v>300</v>
      </c>
      <c r="CG140" s="569">
        <v>0</v>
      </c>
      <c r="CH140" s="569">
        <v>300</v>
      </c>
    </row>
    <row r="141" spans="81:86" ht="12.75">
      <c r="CC141" s="569">
        <v>670</v>
      </c>
      <c r="CD141" s="569" t="s">
        <v>161</v>
      </c>
      <c r="CE141" s="569">
        <v>617.4</v>
      </c>
      <c r="CF141" s="569">
        <v>100</v>
      </c>
      <c r="CG141" s="569">
        <v>0</v>
      </c>
      <c r="CH141" s="569">
        <v>100</v>
      </c>
    </row>
    <row r="142" spans="81:86" ht="12.75">
      <c r="CC142" s="569">
        <v>882</v>
      </c>
      <c r="CD142" s="569" t="s">
        <v>446</v>
      </c>
      <c r="CE142" s="569">
        <v>8179</v>
      </c>
      <c r="CF142" s="569"/>
      <c r="CG142" s="569">
        <v>0</v>
      </c>
      <c r="CH142" s="569"/>
    </row>
    <row r="143" spans="81:86" ht="12.75">
      <c r="CC143" s="569">
        <v>674</v>
      </c>
      <c r="CD143" s="569" t="s">
        <v>162</v>
      </c>
      <c r="CE143" s="569"/>
      <c r="CF143" s="569"/>
      <c r="CG143" s="569"/>
      <c r="CH143" s="569"/>
    </row>
    <row r="144" spans="81:86" ht="12.75">
      <c r="CC144" s="569">
        <v>678</v>
      </c>
      <c r="CD144" s="569" t="s">
        <v>449</v>
      </c>
      <c r="CE144" s="569">
        <v>3072</v>
      </c>
      <c r="CF144" s="569">
        <v>2180</v>
      </c>
      <c r="CG144" s="569">
        <v>0</v>
      </c>
      <c r="CH144" s="569">
        <v>2180</v>
      </c>
    </row>
    <row r="145" spans="81:86" ht="12.75">
      <c r="CC145" s="569">
        <v>682</v>
      </c>
      <c r="CD145" s="569" t="s">
        <v>450</v>
      </c>
      <c r="CE145" s="569">
        <v>126800</v>
      </c>
      <c r="CF145" s="569">
        <v>2400</v>
      </c>
      <c r="CG145" s="569">
        <v>0</v>
      </c>
      <c r="CH145" s="569">
        <v>2400</v>
      </c>
    </row>
    <row r="146" spans="81:86" ht="12.75">
      <c r="CC146" s="569">
        <v>686</v>
      </c>
      <c r="CD146" s="569" t="s">
        <v>451</v>
      </c>
      <c r="CE146" s="569">
        <v>134900</v>
      </c>
      <c r="CF146" s="569">
        <v>25800</v>
      </c>
      <c r="CG146" s="569">
        <v>2170</v>
      </c>
      <c r="CH146" s="569">
        <v>38970</v>
      </c>
    </row>
    <row r="147" spans="81:86" ht="12.75">
      <c r="CC147" s="569">
        <v>891</v>
      </c>
      <c r="CD147" s="569" t="s">
        <v>163</v>
      </c>
      <c r="CE147" s="569">
        <v>49980</v>
      </c>
      <c r="CF147" s="569">
        <v>8407</v>
      </c>
      <c r="CG147" s="569"/>
      <c r="CH147" s="569">
        <v>162200</v>
      </c>
    </row>
    <row r="148" spans="81:86" ht="12.75">
      <c r="CC148" s="569">
        <v>690</v>
      </c>
      <c r="CD148" s="569" t="s">
        <v>452</v>
      </c>
      <c r="CE148" s="569">
        <v>1072</v>
      </c>
      <c r="CF148" s="569"/>
      <c r="CG148" s="569">
        <v>0</v>
      </c>
      <c r="CH148" s="569"/>
    </row>
    <row r="149" spans="81:86" ht="12.75">
      <c r="CC149" s="569">
        <v>694</v>
      </c>
      <c r="CD149" s="569" t="s">
        <v>453</v>
      </c>
      <c r="CE149" s="569">
        <v>182600</v>
      </c>
      <c r="CF149" s="569">
        <v>160000</v>
      </c>
      <c r="CG149" s="569">
        <v>0</v>
      </c>
      <c r="CH149" s="569">
        <v>160000</v>
      </c>
    </row>
    <row r="150" spans="81:86" ht="12.75">
      <c r="CC150" s="569">
        <v>702</v>
      </c>
      <c r="CD150" s="569" t="s">
        <v>454</v>
      </c>
      <c r="CE150" s="569">
        <v>1795</v>
      </c>
      <c r="CF150" s="569">
        <v>600</v>
      </c>
      <c r="CG150" s="569">
        <v>0</v>
      </c>
      <c r="CH150" s="569">
        <v>600</v>
      </c>
    </row>
    <row r="151" spans="81:86" ht="12.75">
      <c r="CC151" s="569">
        <v>703</v>
      </c>
      <c r="CD151" s="569" t="s">
        <v>455</v>
      </c>
      <c r="CE151" s="569">
        <v>40410</v>
      </c>
      <c r="CF151" s="569">
        <v>12600</v>
      </c>
      <c r="CG151" s="569">
        <v>0</v>
      </c>
      <c r="CH151" s="569">
        <v>50100</v>
      </c>
    </row>
    <row r="152" spans="81:86" ht="12.75">
      <c r="CC152" s="569">
        <v>90</v>
      </c>
      <c r="CD152" s="569" t="s">
        <v>456</v>
      </c>
      <c r="CE152" s="569">
        <v>87510</v>
      </c>
      <c r="CF152" s="569">
        <v>44700</v>
      </c>
      <c r="CG152" s="569">
        <v>0</v>
      </c>
      <c r="CH152" s="569">
        <v>44700</v>
      </c>
    </row>
    <row r="153" spans="81:86" ht="25.5" customHeight="1">
      <c r="CC153" s="569">
        <v>706</v>
      </c>
      <c r="CD153" s="569" t="s">
        <v>457</v>
      </c>
      <c r="CE153" s="569">
        <v>179800</v>
      </c>
      <c r="CF153" s="569">
        <v>6000</v>
      </c>
      <c r="CG153" s="569">
        <v>8700</v>
      </c>
      <c r="CH153" s="569">
        <v>14700</v>
      </c>
    </row>
    <row r="154" spans="81:86" ht="12.75">
      <c r="CC154" s="569">
        <v>710</v>
      </c>
      <c r="CD154" s="569" t="s">
        <v>458</v>
      </c>
      <c r="CE154" s="569">
        <v>603400</v>
      </c>
      <c r="CF154" s="569">
        <v>44800</v>
      </c>
      <c r="CG154" s="569">
        <v>6600</v>
      </c>
      <c r="CH154" s="569">
        <v>51350</v>
      </c>
    </row>
    <row r="155" spans="81:86" ht="12.75">
      <c r="CC155" s="569">
        <v>728</v>
      </c>
      <c r="CD155" s="569" t="s">
        <v>510</v>
      </c>
      <c r="CE155" s="569">
        <v>579900</v>
      </c>
      <c r="CF155" s="569">
        <v>26000</v>
      </c>
      <c r="CG155" s="569">
        <v>50000</v>
      </c>
      <c r="CH155" s="569">
        <v>49500</v>
      </c>
    </row>
    <row r="156" spans="81:86" ht="12.75">
      <c r="CC156" s="569">
        <v>144</v>
      </c>
      <c r="CD156" s="569" t="s">
        <v>459</v>
      </c>
      <c r="CE156" s="569">
        <v>112300</v>
      </c>
      <c r="CF156" s="569">
        <v>52800</v>
      </c>
      <c r="CG156" s="569">
        <v>0</v>
      </c>
      <c r="CH156" s="569">
        <v>52800</v>
      </c>
    </row>
    <row r="157" spans="81:86" ht="12.75">
      <c r="CC157" s="569">
        <v>729</v>
      </c>
      <c r="CD157" s="569" t="s">
        <v>511</v>
      </c>
      <c r="CE157" s="569">
        <v>469800</v>
      </c>
      <c r="CF157" s="569">
        <v>4000</v>
      </c>
      <c r="CG157" s="569">
        <v>99300</v>
      </c>
      <c r="CH157" s="569">
        <v>37800</v>
      </c>
    </row>
    <row r="158" spans="81:86" ht="12.75">
      <c r="CC158" s="569">
        <v>740</v>
      </c>
      <c r="CD158" s="569" t="s">
        <v>460</v>
      </c>
      <c r="CE158" s="569">
        <v>381900</v>
      </c>
      <c r="CF158" s="569">
        <v>99000</v>
      </c>
      <c r="CG158" s="569">
        <v>0</v>
      </c>
      <c r="CH158" s="569">
        <v>99000</v>
      </c>
    </row>
    <row r="159" spans="81:86" ht="12.75">
      <c r="CC159" s="569">
        <v>748</v>
      </c>
      <c r="CD159" s="569" t="s">
        <v>461</v>
      </c>
      <c r="CE159" s="569">
        <v>13680</v>
      </c>
      <c r="CF159" s="569">
        <v>2640</v>
      </c>
      <c r="CG159" s="569">
        <v>1870</v>
      </c>
      <c r="CH159" s="569">
        <v>4510</v>
      </c>
    </row>
    <row r="160" spans="81:86" ht="12.75">
      <c r="CC160" s="569">
        <v>760</v>
      </c>
      <c r="CD160" s="569" t="s">
        <v>465</v>
      </c>
      <c r="CE160" s="569">
        <v>46670</v>
      </c>
      <c r="CF160" s="569">
        <v>7132</v>
      </c>
      <c r="CG160" s="569">
        <v>28520</v>
      </c>
      <c r="CH160" s="569">
        <v>16800</v>
      </c>
    </row>
    <row r="161" spans="81:86" ht="12.75">
      <c r="CC161" s="569">
        <v>762</v>
      </c>
      <c r="CD161" s="569" t="s">
        <v>466</v>
      </c>
      <c r="CE161" s="569">
        <v>97690</v>
      </c>
      <c r="CF161" s="569">
        <v>63460</v>
      </c>
      <c r="CG161" s="569">
        <v>34190</v>
      </c>
      <c r="CH161" s="569">
        <v>21910</v>
      </c>
    </row>
    <row r="162" spans="81:86" ht="12.75">
      <c r="CC162" s="569">
        <v>764</v>
      </c>
      <c r="CD162" s="569" t="s">
        <v>467</v>
      </c>
      <c r="CE162" s="569">
        <v>832300</v>
      </c>
      <c r="CF162" s="569">
        <v>224500</v>
      </c>
      <c r="CG162" s="569">
        <v>0</v>
      </c>
      <c r="CH162" s="569">
        <v>438600</v>
      </c>
    </row>
    <row r="163" spans="81:86" ht="12.75">
      <c r="CC163" s="569">
        <v>807</v>
      </c>
      <c r="CD163" s="569" t="s">
        <v>164</v>
      </c>
      <c r="CE163" s="569">
        <v>15910</v>
      </c>
      <c r="CF163" s="569">
        <v>5400</v>
      </c>
      <c r="CG163" s="569">
        <v>1000</v>
      </c>
      <c r="CH163" s="569">
        <v>6400</v>
      </c>
    </row>
    <row r="164" spans="81:86" ht="12.75">
      <c r="CC164" s="569">
        <v>626</v>
      </c>
      <c r="CD164" s="569" t="s">
        <v>165</v>
      </c>
      <c r="CE164" s="569">
        <v>22300</v>
      </c>
      <c r="CF164" s="569">
        <v>8215</v>
      </c>
      <c r="CG164" s="569">
        <v>0</v>
      </c>
      <c r="CH164" s="569">
        <v>8215</v>
      </c>
    </row>
    <row r="165" spans="81:86" ht="12.75">
      <c r="CC165" s="569">
        <v>768</v>
      </c>
      <c r="CD165" s="569" t="s">
        <v>468</v>
      </c>
      <c r="CE165" s="569">
        <v>66330</v>
      </c>
      <c r="CF165" s="569">
        <v>11500</v>
      </c>
      <c r="CG165" s="569">
        <v>3200</v>
      </c>
      <c r="CH165" s="569">
        <v>14700</v>
      </c>
    </row>
    <row r="166" spans="81:86" ht="12.75">
      <c r="CC166" s="570">
        <v>772</v>
      </c>
      <c r="CD166" s="570" t="s">
        <v>512</v>
      </c>
      <c r="CE166" s="570"/>
      <c r="CF166" s="570"/>
      <c r="CG166" s="570">
        <v>0</v>
      </c>
      <c r="CH166" s="570"/>
    </row>
    <row r="167" spans="81:86" ht="12.75">
      <c r="CC167" s="570">
        <v>776</v>
      </c>
      <c r="CD167" s="570" t="s">
        <v>470</v>
      </c>
      <c r="CE167" s="570"/>
      <c r="CF167" s="570"/>
      <c r="CG167" s="570">
        <v>0</v>
      </c>
      <c r="CH167" s="570"/>
    </row>
    <row r="168" spans="81:86" ht="12.75">
      <c r="CC168" s="569">
        <v>780</v>
      </c>
      <c r="CD168" s="569" t="s">
        <v>471</v>
      </c>
      <c r="CE168" s="569">
        <v>11290</v>
      </c>
      <c r="CF168" s="569">
        <v>3840</v>
      </c>
      <c r="CG168" s="569">
        <v>0</v>
      </c>
      <c r="CH168" s="569">
        <v>3840</v>
      </c>
    </row>
    <row r="169" spans="81:86" ht="12.75">
      <c r="CC169" s="569">
        <v>788</v>
      </c>
      <c r="CD169" s="569" t="s">
        <v>472</v>
      </c>
      <c r="CE169" s="569">
        <v>33870</v>
      </c>
      <c r="CF169" s="569">
        <v>4195</v>
      </c>
      <c r="CG169" s="569">
        <v>320</v>
      </c>
      <c r="CH169" s="569">
        <v>4615</v>
      </c>
    </row>
    <row r="170" spans="81:86" ht="12.75">
      <c r="CC170" s="569">
        <v>795</v>
      </c>
      <c r="CD170" s="569" t="s">
        <v>473</v>
      </c>
      <c r="CE170" s="569">
        <v>78580</v>
      </c>
      <c r="CF170" s="569">
        <v>1405</v>
      </c>
      <c r="CG170" s="569">
        <v>80200</v>
      </c>
      <c r="CH170" s="569">
        <v>24770</v>
      </c>
    </row>
    <row r="171" spans="81:86" ht="12.75">
      <c r="CC171" s="569">
        <v>798</v>
      </c>
      <c r="CD171" s="569" t="s">
        <v>166</v>
      </c>
      <c r="CE171" s="569"/>
      <c r="CF171" s="569"/>
      <c r="CG171" s="569">
        <v>0</v>
      </c>
      <c r="CH171" s="569"/>
    </row>
    <row r="172" spans="81:86" ht="12.75">
      <c r="CC172" s="569">
        <v>800</v>
      </c>
      <c r="CD172" s="569" t="s">
        <v>474</v>
      </c>
      <c r="CE172" s="569">
        <v>285000</v>
      </c>
      <c r="CF172" s="569">
        <v>39000</v>
      </c>
      <c r="CG172" s="569">
        <v>21100</v>
      </c>
      <c r="CH172" s="569">
        <v>60100</v>
      </c>
    </row>
    <row r="173" spans="81:86" ht="12.75">
      <c r="CC173" s="569">
        <v>804</v>
      </c>
      <c r="CD173" s="569" t="s">
        <v>475</v>
      </c>
      <c r="CE173" s="569">
        <v>341000</v>
      </c>
      <c r="CF173" s="569">
        <v>55100</v>
      </c>
      <c r="CG173" s="569">
        <v>36130</v>
      </c>
      <c r="CH173" s="569">
        <v>175300</v>
      </c>
    </row>
    <row r="174" spans="81:86" ht="12.75">
      <c r="CC174" s="569">
        <v>784</v>
      </c>
      <c r="CD174" s="569" t="s">
        <v>476</v>
      </c>
      <c r="CE174" s="569">
        <v>6521</v>
      </c>
      <c r="CF174" s="569">
        <v>150</v>
      </c>
      <c r="CG174" s="569">
        <v>0</v>
      </c>
      <c r="CH174" s="569">
        <v>150</v>
      </c>
    </row>
    <row r="175" spans="81:86" ht="12.75">
      <c r="CC175" s="569">
        <v>834</v>
      </c>
      <c r="CD175" s="569" t="s">
        <v>167</v>
      </c>
      <c r="CE175" s="569">
        <v>1015000</v>
      </c>
      <c r="CF175" s="569">
        <v>84000</v>
      </c>
      <c r="CG175" s="569">
        <v>12270</v>
      </c>
      <c r="CH175" s="569">
        <v>96270</v>
      </c>
    </row>
    <row r="176" spans="81:86" ht="25.5" customHeight="1">
      <c r="CC176" s="569">
        <v>858</v>
      </c>
      <c r="CD176" s="569" t="s">
        <v>478</v>
      </c>
      <c r="CE176" s="569">
        <v>229100</v>
      </c>
      <c r="CF176" s="569">
        <v>92200</v>
      </c>
      <c r="CG176" s="569">
        <v>5000</v>
      </c>
      <c r="CH176" s="569">
        <v>172200</v>
      </c>
    </row>
    <row r="177" spans="81:86" ht="12.75">
      <c r="CC177" s="569">
        <v>860</v>
      </c>
      <c r="CD177" s="569" t="s">
        <v>479</v>
      </c>
      <c r="CE177" s="569">
        <v>92160</v>
      </c>
      <c r="CF177" s="569">
        <v>16340</v>
      </c>
      <c r="CG177" s="569">
        <v>102200</v>
      </c>
      <c r="CH177" s="569">
        <v>48870</v>
      </c>
    </row>
    <row r="178" spans="81:86" ht="12.75">
      <c r="CC178" s="569">
        <v>548</v>
      </c>
      <c r="CD178" s="569" t="s">
        <v>168</v>
      </c>
      <c r="CE178" s="569">
        <v>24380</v>
      </c>
      <c r="CF178" s="569">
        <v>10000</v>
      </c>
      <c r="CG178" s="569">
        <v>0</v>
      </c>
      <c r="CH178" s="569">
        <v>10000</v>
      </c>
    </row>
    <row r="179" spans="81:86" ht="38.25" customHeight="1">
      <c r="CC179" s="569">
        <v>862</v>
      </c>
      <c r="CD179" s="569" t="s">
        <v>169</v>
      </c>
      <c r="CE179" s="569">
        <v>1864000</v>
      </c>
      <c r="CF179" s="569">
        <v>805000</v>
      </c>
      <c r="CG179" s="569">
        <v>495000</v>
      </c>
      <c r="CH179" s="569">
        <v>1325000</v>
      </c>
    </row>
    <row r="180" spans="81:86" ht="12.75">
      <c r="CC180" s="569">
        <v>704</v>
      </c>
      <c r="CD180" s="569" t="s">
        <v>480</v>
      </c>
      <c r="CE180" s="569">
        <v>602700</v>
      </c>
      <c r="CF180" s="569">
        <v>359400</v>
      </c>
      <c r="CG180" s="569">
        <v>524700</v>
      </c>
      <c r="CH180" s="569">
        <v>884100</v>
      </c>
    </row>
    <row r="181" spans="81:86" ht="12.75">
      <c r="CC181" s="569">
        <v>887</v>
      </c>
      <c r="CD181" s="569" t="s">
        <v>481</v>
      </c>
      <c r="CE181" s="569">
        <v>88170</v>
      </c>
      <c r="CF181" s="569">
        <v>2100</v>
      </c>
      <c r="CG181" s="569">
        <v>0</v>
      </c>
      <c r="CH181" s="569">
        <v>2100</v>
      </c>
    </row>
    <row r="182" spans="81:86" ht="12.75">
      <c r="CC182" s="569">
        <v>894</v>
      </c>
      <c r="CD182" s="569" t="s">
        <v>482</v>
      </c>
      <c r="CE182" s="569">
        <v>767700</v>
      </c>
      <c r="CF182" s="569">
        <v>80200</v>
      </c>
      <c r="CG182" s="569">
        <v>24600</v>
      </c>
      <c r="CH182" s="569">
        <v>104800</v>
      </c>
    </row>
    <row r="183" spans="81:86" ht="12.75">
      <c r="CC183" s="569">
        <v>716</v>
      </c>
      <c r="CD183" s="569" t="s">
        <v>483</v>
      </c>
      <c r="CE183" s="569">
        <v>256700</v>
      </c>
      <c r="CF183" s="569">
        <v>12260</v>
      </c>
      <c r="CG183" s="569">
        <v>0</v>
      </c>
      <c r="CH183" s="569">
        <v>20000</v>
      </c>
    </row>
    <row r="207" ht="22.5" customHeight="1"/>
  </sheetData>
  <sheetProtection formatCells="0" formatColumns="0" formatRows="0" insertColumns="0"/>
  <mergeCells count="49">
    <mergeCell ref="AK30:AN30"/>
    <mergeCell ref="D38:AZ38"/>
    <mergeCell ref="D39:AZ39"/>
    <mergeCell ref="D40:AZ40"/>
    <mergeCell ref="D41:AZ41"/>
    <mergeCell ref="D46:AZ46"/>
    <mergeCell ref="D47:AZ47"/>
    <mergeCell ref="D48:AZ48"/>
    <mergeCell ref="D49:AZ49"/>
    <mergeCell ref="D42:AZ42"/>
    <mergeCell ref="D43:AZ43"/>
    <mergeCell ref="D44:AZ44"/>
    <mergeCell ref="D45:AZ45"/>
    <mergeCell ref="C58:AO59"/>
    <mergeCell ref="D54:AZ54"/>
    <mergeCell ref="D55:AZ55"/>
    <mergeCell ref="D56:AZ56"/>
    <mergeCell ref="D57:AZ57"/>
    <mergeCell ref="D50:AZ50"/>
    <mergeCell ref="D51:AZ51"/>
    <mergeCell ref="D52:AZ52"/>
    <mergeCell ref="D53:AZ53"/>
    <mergeCell ref="CC5:CF5"/>
    <mergeCell ref="C5:AT5"/>
    <mergeCell ref="D37:AZ37"/>
    <mergeCell ref="D20:AZ20"/>
    <mergeCell ref="D21:AZ21"/>
    <mergeCell ref="D35:AZ35"/>
    <mergeCell ref="D24:AZ24"/>
    <mergeCell ref="AB31:AE31"/>
    <mergeCell ref="AK31:AN31"/>
    <mergeCell ref="AT29:AY29"/>
    <mergeCell ref="AB6:AN6"/>
    <mergeCell ref="C4:AZ4"/>
    <mergeCell ref="D22:AZ22"/>
    <mergeCell ref="D36:AZ36"/>
    <mergeCell ref="D23:AZ23"/>
    <mergeCell ref="AB26:AE26"/>
    <mergeCell ref="AJ26:AN26"/>
    <mergeCell ref="AD28:AL28"/>
    <mergeCell ref="AT31:AY31"/>
    <mergeCell ref="AB30:AE30"/>
    <mergeCell ref="V29:AA29"/>
    <mergeCell ref="V31:AA31"/>
    <mergeCell ref="F26:I26"/>
    <mergeCell ref="M26:Q26"/>
    <mergeCell ref="H28:O28"/>
    <mergeCell ref="F30:I30"/>
    <mergeCell ref="M30:P30"/>
  </mergeCells>
  <conditionalFormatting sqref="F10">
    <cfRule type="cellIs" priority="146" dxfId="335" operator="lessThan" stopIfTrue="1">
      <formula>F8-F9-(0.01*(F8-F9))</formula>
    </cfRule>
  </conditionalFormatting>
  <conditionalFormatting sqref="F12">
    <cfRule type="cellIs" priority="147" dxfId="335" operator="lessThan" stopIfTrue="1">
      <formula>F10+F11-(0.01*(F10+F11))</formula>
    </cfRule>
  </conditionalFormatting>
  <conditionalFormatting sqref="F13">
    <cfRule type="cellIs" priority="148" dxfId="335" operator="lessThan" stopIfTrue="1">
      <formula>0.99*(F14+F15)</formula>
    </cfRule>
  </conditionalFormatting>
  <conditionalFormatting sqref="H10">
    <cfRule type="cellIs" priority="144" dxfId="335" operator="lessThan" stopIfTrue="1">
      <formula>H8-H9-(0.01*(H8-H9))</formula>
    </cfRule>
  </conditionalFormatting>
  <conditionalFormatting sqref="H12">
    <cfRule type="cellIs" priority="145" dxfId="335" operator="lessThan" stopIfTrue="1">
      <formula>H10+H11-(0.01*(H10+H11))</formula>
    </cfRule>
  </conditionalFormatting>
  <conditionalFormatting sqref="H13">
    <cfRule type="cellIs" priority="103" dxfId="335" operator="lessThan" stopIfTrue="1">
      <formula>0.99*(H14+H15)</formula>
    </cfRule>
  </conditionalFormatting>
  <conditionalFormatting sqref="BE32 BE35 BE38 BE29">
    <cfRule type="cellIs" priority="77" dxfId="335" operator="greaterThan" stopIfTrue="1">
      <formula>0</formula>
    </cfRule>
  </conditionalFormatting>
  <conditionalFormatting sqref="BE23 BE26 BG26:BZ26 BG23:BZ23">
    <cfRule type="cellIs" priority="79" dxfId="335" operator="equal" stopIfTrue="1">
      <formula>"&lt;&gt;"</formula>
    </cfRule>
  </conditionalFormatting>
  <conditionalFormatting sqref="BH8:BZ16">
    <cfRule type="cellIs" priority="78" dxfId="335" operator="equal" stopIfTrue="1">
      <formula>"&gt; 25%"</formula>
    </cfRule>
  </conditionalFormatting>
  <conditionalFormatting sqref="CA26 CA23">
    <cfRule type="cellIs" priority="70" dxfId="335" operator="equal" stopIfTrue="1">
      <formula>"&lt;&gt;"</formula>
    </cfRule>
  </conditionalFormatting>
  <conditionalFormatting sqref="CA8:CA16">
    <cfRule type="cellIs" priority="69" dxfId="335" operator="equal" stopIfTrue="1">
      <formula>"&gt; 25%"</formula>
    </cfRule>
  </conditionalFormatting>
  <conditionalFormatting sqref="BW8:BX16">
    <cfRule type="cellIs" priority="68" dxfId="335" operator="equal" stopIfTrue="1">
      <formula>"&gt; 25%"</formula>
    </cfRule>
  </conditionalFormatting>
  <conditionalFormatting sqref="BW26:BX26 BW23:BX23">
    <cfRule type="cellIs" priority="67" dxfId="335" operator="equal" stopIfTrue="1">
      <formula>"&lt;&gt;"</formula>
    </cfRule>
  </conditionalFormatting>
  <conditionalFormatting sqref="J10">
    <cfRule type="cellIs" priority="64" dxfId="335" operator="lessThan" stopIfTrue="1">
      <formula>J8-J9-(0.01*(J8-J9))</formula>
    </cfRule>
  </conditionalFormatting>
  <conditionalFormatting sqref="J12">
    <cfRule type="cellIs" priority="65" dxfId="335" operator="lessThan" stopIfTrue="1">
      <formula>J10+J11-(0.01*(J10+J11))</formula>
    </cfRule>
  </conditionalFormatting>
  <conditionalFormatting sqref="J13">
    <cfRule type="cellIs" priority="66" dxfId="335" operator="lessThan" stopIfTrue="1">
      <formula>0.99*(J14+J15)</formula>
    </cfRule>
  </conditionalFormatting>
  <conditionalFormatting sqref="L10">
    <cfRule type="cellIs" priority="62" dxfId="335" operator="lessThan" stopIfTrue="1">
      <formula>L8-L9-(0.01*(L8-L9))</formula>
    </cfRule>
  </conditionalFormatting>
  <conditionalFormatting sqref="L12">
    <cfRule type="cellIs" priority="63" dxfId="335" operator="lessThan" stopIfTrue="1">
      <formula>L10+L11-(0.01*(L10+L11))</formula>
    </cfRule>
  </conditionalFormatting>
  <conditionalFormatting sqref="L13">
    <cfRule type="cellIs" priority="61" dxfId="335" operator="lessThan" stopIfTrue="1">
      <formula>0.99*(L14+L15)</formula>
    </cfRule>
  </conditionalFormatting>
  <conditionalFormatting sqref="N10">
    <cfRule type="cellIs" priority="58" dxfId="335" operator="lessThan" stopIfTrue="1">
      <formula>N8-N9-(0.01*(N8-N9))</formula>
    </cfRule>
  </conditionalFormatting>
  <conditionalFormatting sqref="N12">
    <cfRule type="cellIs" priority="59" dxfId="335" operator="lessThan" stopIfTrue="1">
      <formula>N10+N11-(0.01*(N10+N11))</formula>
    </cfRule>
  </conditionalFormatting>
  <conditionalFormatting sqref="N13">
    <cfRule type="cellIs" priority="60" dxfId="335" operator="lessThan" stopIfTrue="1">
      <formula>0.99*(N14+N15)</formula>
    </cfRule>
  </conditionalFormatting>
  <conditionalFormatting sqref="P10">
    <cfRule type="cellIs" priority="56" dxfId="335" operator="lessThan" stopIfTrue="1">
      <formula>P8-P9-(0.01*(P8-P9))</formula>
    </cfRule>
  </conditionalFormatting>
  <conditionalFormatting sqref="P12">
    <cfRule type="cellIs" priority="57" dxfId="335" operator="lessThan" stopIfTrue="1">
      <formula>P10+P11-(0.01*(P10+P11))</formula>
    </cfRule>
  </conditionalFormatting>
  <conditionalFormatting sqref="P13">
    <cfRule type="cellIs" priority="55" dxfId="335" operator="lessThan" stopIfTrue="1">
      <formula>0.99*(P14+P15)</formula>
    </cfRule>
  </conditionalFormatting>
  <conditionalFormatting sqref="R10">
    <cfRule type="cellIs" priority="52" dxfId="335" operator="lessThan" stopIfTrue="1">
      <formula>R8-R9-(0.01*(R8-R9))</formula>
    </cfRule>
  </conditionalFormatting>
  <conditionalFormatting sqref="R12">
    <cfRule type="cellIs" priority="53" dxfId="335" operator="lessThan" stopIfTrue="1">
      <formula>R10+R11-(0.01*(R10+R11))</formula>
    </cfRule>
  </conditionalFormatting>
  <conditionalFormatting sqref="R13">
    <cfRule type="cellIs" priority="54" dxfId="335" operator="lessThan" stopIfTrue="1">
      <formula>0.99*(R14+R15)</formula>
    </cfRule>
  </conditionalFormatting>
  <conditionalFormatting sqref="T10">
    <cfRule type="cellIs" priority="50" dxfId="335" operator="lessThan" stopIfTrue="1">
      <formula>T8-T9-(0.01*(T8-T9))</formula>
    </cfRule>
  </conditionalFormatting>
  <conditionalFormatting sqref="T12">
    <cfRule type="cellIs" priority="51" dxfId="335" operator="lessThan" stopIfTrue="1">
      <formula>T10+T11-(0.01*(T10+T11))</formula>
    </cfRule>
  </conditionalFormatting>
  <conditionalFormatting sqref="T13">
    <cfRule type="cellIs" priority="49" dxfId="335" operator="lessThan" stopIfTrue="1">
      <formula>0.99*(T14+T15)</formula>
    </cfRule>
  </conditionalFormatting>
  <conditionalFormatting sqref="V10">
    <cfRule type="cellIs" priority="46" dxfId="335" operator="lessThan" stopIfTrue="1">
      <formula>V8-V9-(0.01*(V8-V9))</formula>
    </cfRule>
  </conditionalFormatting>
  <conditionalFormatting sqref="V12">
    <cfRule type="cellIs" priority="47" dxfId="335" operator="lessThan" stopIfTrue="1">
      <formula>V10+V11-(0.01*(V10+V11))</formula>
    </cfRule>
  </conditionalFormatting>
  <conditionalFormatting sqref="V13">
    <cfRule type="cellIs" priority="48" dxfId="335" operator="lessThan" stopIfTrue="1">
      <formula>0.99*(V14+V15)</formula>
    </cfRule>
  </conditionalFormatting>
  <conditionalFormatting sqref="X10">
    <cfRule type="cellIs" priority="44" dxfId="335" operator="lessThan" stopIfTrue="1">
      <formula>X8-X9-(0.01*(X8-X9))</formula>
    </cfRule>
  </conditionalFormatting>
  <conditionalFormatting sqref="X12">
    <cfRule type="cellIs" priority="45" dxfId="335" operator="lessThan" stopIfTrue="1">
      <formula>X10+X11-(0.01*(X10+X11))</formula>
    </cfRule>
  </conditionalFormatting>
  <conditionalFormatting sqref="X13">
    <cfRule type="cellIs" priority="43" dxfId="335" operator="lessThan" stopIfTrue="1">
      <formula>0.99*(X14+X15)</formula>
    </cfRule>
  </conditionalFormatting>
  <conditionalFormatting sqref="Z10">
    <cfRule type="cellIs" priority="40" dxfId="335" operator="lessThan" stopIfTrue="1">
      <formula>Z8-Z9-(0.01*(Z8-Z9))</formula>
    </cfRule>
  </conditionalFormatting>
  <conditionalFormatting sqref="Z12">
    <cfRule type="cellIs" priority="41" dxfId="335" operator="lessThan" stopIfTrue="1">
      <formula>Z10+Z11-(0.01*(Z10+Z11))</formula>
    </cfRule>
  </conditionalFormatting>
  <conditionalFormatting sqref="Z13">
    <cfRule type="cellIs" priority="42" dxfId="335" operator="lessThan" stopIfTrue="1">
      <formula>0.99*(Z14+Z15)</formula>
    </cfRule>
  </conditionalFormatting>
  <conditionalFormatting sqref="AB10">
    <cfRule type="cellIs" priority="38" dxfId="335" operator="lessThan" stopIfTrue="1">
      <formula>AB8-AB9-(0.01*(AB8-AB9))</formula>
    </cfRule>
  </conditionalFormatting>
  <conditionalFormatting sqref="AB12">
    <cfRule type="cellIs" priority="39" dxfId="335" operator="lessThan" stopIfTrue="1">
      <formula>AB10+AB11-(0.01*(AB10+AB11))</formula>
    </cfRule>
  </conditionalFormatting>
  <conditionalFormatting sqref="AB13">
    <cfRule type="cellIs" priority="37" dxfId="335" operator="lessThan" stopIfTrue="1">
      <formula>0.99*(AB14+AB15)</formula>
    </cfRule>
  </conditionalFormatting>
  <conditionalFormatting sqref="AD10">
    <cfRule type="cellIs" priority="34" dxfId="335" operator="lessThan" stopIfTrue="1">
      <formula>AD8-AD9-(0.01*(AD8-AD9))</formula>
    </cfRule>
  </conditionalFormatting>
  <conditionalFormatting sqref="AD12">
    <cfRule type="cellIs" priority="35" dxfId="335" operator="lessThan" stopIfTrue="1">
      <formula>AD10+AD11-(0.01*(AD10+AD11))</formula>
    </cfRule>
  </conditionalFormatting>
  <conditionalFormatting sqref="AD13">
    <cfRule type="cellIs" priority="36" dxfId="335" operator="lessThan" stopIfTrue="1">
      <formula>0.99*(AD14+AD15)</formula>
    </cfRule>
  </conditionalFormatting>
  <conditionalFormatting sqref="AF10">
    <cfRule type="cellIs" priority="32" dxfId="335" operator="lessThan" stopIfTrue="1">
      <formula>AF8-AF9-(0.01*(AF8-AF9))</formula>
    </cfRule>
  </conditionalFormatting>
  <conditionalFormatting sqref="AF12">
    <cfRule type="cellIs" priority="33" dxfId="335" operator="lessThan" stopIfTrue="1">
      <formula>AF10+AF11-(0.01*(AF10+AF11))</formula>
    </cfRule>
  </conditionalFormatting>
  <conditionalFormatting sqref="AF13">
    <cfRule type="cellIs" priority="31" dxfId="335" operator="lessThan" stopIfTrue="1">
      <formula>0.99*(AF14+AF15)</formula>
    </cfRule>
  </conditionalFormatting>
  <conditionalFormatting sqref="AH10">
    <cfRule type="cellIs" priority="28" dxfId="335" operator="lessThan" stopIfTrue="1">
      <formula>AH8-AH9-(0.01*(AH8-AH9))</formula>
    </cfRule>
  </conditionalFormatting>
  <conditionalFormatting sqref="AH12">
    <cfRule type="cellIs" priority="29" dxfId="335" operator="lessThan" stopIfTrue="1">
      <formula>AH10+AH11-(0.01*(AH10+AH11))</formula>
    </cfRule>
  </conditionalFormatting>
  <conditionalFormatting sqref="AH13">
    <cfRule type="cellIs" priority="30" dxfId="335" operator="lessThan" stopIfTrue="1">
      <formula>0.99*(AH14+AH15)</formula>
    </cfRule>
  </conditionalFormatting>
  <conditionalFormatting sqref="AJ10">
    <cfRule type="cellIs" priority="26" dxfId="335" operator="lessThan" stopIfTrue="1">
      <formula>AJ8-AJ9-(0.01*(AJ8-AJ9))</formula>
    </cfRule>
  </conditionalFormatting>
  <conditionalFormatting sqref="AJ12">
    <cfRule type="cellIs" priority="27" dxfId="335" operator="lessThan" stopIfTrue="1">
      <formula>AJ10+AJ11-(0.01*(AJ10+AJ11))</formula>
    </cfRule>
  </conditionalFormatting>
  <conditionalFormatting sqref="AJ13">
    <cfRule type="cellIs" priority="25" dxfId="335" operator="lessThan" stopIfTrue="1">
      <formula>0.99*(AJ14+AJ15)</formula>
    </cfRule>
  </conditionalFormatting>
  <conditionalFormatting sqref="AL10">
    <cfRule type="cellIs" priority="22" dxfId="335" operator="lessThan" stopIfTrue="1">
      <formula>AL8-AL9-(0.01*(AL8-AL9))</formula>
    </cfRule>
  </conditionalFormatting>
  <conditionalFormatting sqref="AL12">
    <cfRule type="cellIs" priority="23" dxfId="335" operator="lessThan" stopIfTrue="1">
      <formula>AL10+AL11-(0.01*(AL10+AL11))</formula>
    </cfRule>
  </conditionalFormatting>
  <conditionalFormatting sqref="AL13">
    <cfRule type="cellIs" priority="24" dxfId="335" operator="lessThan" stopIfTrue="1">
      <formula>0.99*(AL14+AL15)</formula>
    </cfRule>
  </conditionalFormatting>
  <conditionalFormatting sqref="AN10">
    <cfRule type="cellIs" priority="20" dxfId="335" operator="lessThan" stopIfTrue="1">
      <formula>AN8-AN9-(0.01*(AN8-AN9))</formula>
    </cfRule>
  </conditionalFormatting>
  <conditionalFormatting sqref="AN12">
    <cfRule type="cellIs" priority="21" dxfId="335" operator="lessThan" stopIfTrue="1">
      <formula>AN10+AN11-(0.01*(AN10+AN11))</formula>
    </cfRule>
  </conditionalFormatting>
  <conditionalFormatting sqref="AN13">
    <cfRule type="cellIs" priority="19" dxfId="335" operator="lessThan" stopIfTrue="1">
      <formula>0.99*(AN14+AN15)</formula>
    </cfRule>
  </conditionalFormatting>
  <conditionalFormatting sqref="AP10">
    <cfRule type="cellIs" priority="16" dxfId="335" operator="lessThan" stopIfTrue="1">
      <formula>AP8-AP9-(0.01*(AP8-AP9))</formula>
    </cfRule>
  </conditionalFormatting>
  <conditionalFormatting sqref="AP12">
    <cfRule type="cellIs" priority="17" dxfId="335" operator="lessThan" stopIfTrue="1">
      <formula>AP10+AP11-(0.01*(AP10+AP11))</formula>
    </cfRule>
  </conditionalFormatting>
  <conditionalFormatting sqref="AP13">
    <cfRule type="cellIs" priority="18" dxfId="335" operator="lessThan" stopIfTrue="1">
      <formula>0.99*(AP14+AP15)</formula>
    </cfRule>
  </conditionalFormatting>
  <conditionalFormatting sqref="AR10">
    <cfRule type="cellIs" priority="14" dxfId="335" operator="lessThan" stopIfTrue="1">
      <formula>AR8-AR9-(0.01*(AR8-AR9))</formula>
    </cfRule>
  </conditionalFormatting>
  <conditionalFormatting sqref="AR12">
    <cfRule type="cellIs" priority="15" dxfId="335" operator="lessThan" stopIfTrue="1">
      <formula>AR10+AR11-(0.01*(AR10+AR11))</formula>
    </cfRule>
  </conditionalFormatting>
  <conditionalFormatting sqref="AR13">
    <cfRule type="cellIs" priority="13" dxfId="335" operator="lessThan" stopIfTrue="1">
      <formula>0.99*(AR14+AR15)</formula>
    </cfRule>
  </conditionalFormatting>
  <conditionalFormatting sqref="AT10">
    <cfRule type="cellIs" priority="10" dxfId="335" operator="lessThan" stopIfTrue="1">
      <formula>AT8-AT9-(0.01*(AT8-AT9))</formula>
    </cfRule>
  </conditionalFormatting>
  <conditionalFormatting sqref="AT12">
    <cfRule type="cellIs" priority="11" dxfId="335" operator="lessThan" stopIfTrue="1">
      <formula>AT10+AT11-(0.01*(AT10+AT11))</formula>
    </cfRule>
  </conditionalFormatting>
  <conditionalFormatting sqref="AT13">
    <cfRule type="cellIs" priority="12" dxfId="335" operator="lessThan" stopIfTrue="1">
      <formula>0.99*(AT14+AT15)</formula>
    </cfRule>
  </conditionalFormatting>
  <conditionalFormatting sqref="AV10">
    <cfRule type="cellIs" priority="4" dxfId="335" operator="lessThan" stopIfTrue="1">
      <formula>AV8-AV9-(0.01*(AV8-AV9))</formula>
    </cfRule>
  </conditionalFormatting>
  <conditionalFormatting sqref="AV12">
    <cfRule type="cellIs" priority="5" dxfId="335" operator="lessThan" stopIfTrue="1">
      <formula>AV10+AV11-(0.01*(AV10+AV11))</formula>
    </cfRule>
  </conditionalFormatting>
  <conditionalFormatting sqref="AV13">
    <cfRule type="cellIs" priority="6" dxfId="335" operator="lessThan" stopIfTrue="1">
      <formula>0.99*(AV14+AV15)</formula>
    </cfRule>
  </conditionalFormatting>
  <conditionalFormatting sqref="AX10">
    <cfRule type="cellIs" priority="2" dxfId="335" operator="lessThan" stopIfTrue="1">
      <formula>AX8-AX9-(0.01*(AX8-AX9))</formula>
    </cfRule>
  </conditionalFormatting>
  <conditionalFormatting sqref="AX12">
    <cfRule type="cellIs" priority="3" dxfId="335" operator="lessThan" stopIfTrue="1">
      <formula>AX10+AX11-(0.01*(AX10+AX11))</formula>
    </cfRule>
  </conditionalFormatting>
  <conditionalFormatting sqref="AX13">
    <cfRule type="cellIs" priority="1" dxfId="335"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6"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98" ht="6" customHeight="1">
      <c r="E2" s="314"/>
      <c r="F2" s="314"/>
      <c r="G2" s="315"/>
      <c r="H2" s="316"/>
      <c r="I2" s="317"/>
      <c r="J2" s="316"/>
      <c r="K2" s="317"/>
      <c r="L2" s="316"/>
      <c r="M2" s="317"/>
      <c r="N2" s="316"/>
      <c r="O2" s="317"/>
      <c r="P2" s="316"/>
      <c r="Q2" s="317"/>
      <c r="R2" s="316"/>
      <c r="S2" s="317"/>
      <c r="T2" s="316"/>
      <c r="U2" s="317"/>
      <c r="V2" s="316"/>
      <c r="W2" s="318"/>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row>
    <row r="3" spans="1:100" s="335" customFormat="1" ht="17.25" customHeight="1">
      <c r="A3" s="262"/>
      <c r="B3" s="262">
        <v>454</v>
      </c>
      <c r="C3" s="319" t="s">
        <v>297</v>
      </c>
      <c r="D3" s="553" t="s">
        <v>407</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639"/>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row>
    <row r="5" spans="2:98" ht="17.25" customHeight="1">
      <c r="B5" s="213">
        <v>23</v>
      </c>
      <c r="C5" s="824" t="s">
        <v>86</v>
      </c>
      <c r="D5" s="824"/>
      <c r="E5" s="825"/>
      <c r="F5" s="825"/>
      <c r="G5" s="825"/>
      <c r="H5" s="826"/>
      <c r="I5" s="826"/>
      <c r="J5" s="826"/>
      <c r="K5" s="826"/>
      <c r="L5" s="826"/>
      <c r="M5" s="826"/>
      <c r="N5" s="826"/>
      <c r="O5" s="826"/>
      <c r="P5" s="826"/>
      <c r="Q5" s="826"/>
      <c r="R5" s="826"/>
      <c r="S5" s="826"/>
      <c r="T5" s="826"/>
      <c r="U5" s="826"/>
      <c r="V5" s="826"/>
      <c r="W5" s="825"/>
      <c r="X5" s="826"/>
      <c r="Y5" s="825"/>
      <c r="Z5" s="826"/>
      <c r="AA5" s="825"/>
      <c r="AB5" s="826"/>
      <c r="AC5" s="825"/>
      <c r="AD5" s="826"/>
      <c r="AE5" s="825"/>
      <c r="AF5" s="826"/>
      <c r="AG5" s="825"/>
      <c r="AH5" s="826"/>
      <c r="AI5" s="826"/>
      <c r="AJ5" s="826"/>
      <c r="AK5" s="825"/>
      <c r="AL5" s="826"/>
      <c r="AM5" s="825"/>
      <c r="AN5" s="337"/>
      <c r="AO5" s="338"/>
      <c r="AP5" s="338"/>
      <c r="AQ5" s="338"/>
      <c r="AR5" s="338"/>
      <c r="AS5" s="338"/>
      <c r="AT5" s="337"/>
      <c r="AU5" s="285"/>
      <c r="AV5" s="338"/>
      <c r="AW5" s="338"/>
      <c r="AZ5" s="339" t="s">
        <v>50</v>
      </c>
      <c r="BA5" s="300"/>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5:98" ht="14.25" customHeight="1">
      <c r="E6" s="202"/>
      <c r="F6" s="642" t="s">
        <v>492</v>
      </c>
      <c r="Z6" s="568"/>
      <c r="AA6" s="340"/>
      <c r="AB6" s="341"/>
      <c r="AC6" s="342"/>
      <c r="AD6" s="341"/>
      <c r="AE6" s="342"/>
      <c r="AF6" s="341"/>
      <c r="AG6" s="343"/>
      <c r="AH6" s="341"/>
      <c r="AJ6" s="341"/>
      <c r="AK6" s="342"/>
      <c r="AL6" s="341"/>
      <c r="AN6" s="341"/>
      <c r="AO6" s="344"/>
      <c r="AP6" s="344"/>
      <c r="AQ6" s="344"/>
      <c r="AR6" s="344"/>
      <c r="AS6" s="344"/>
      <c r="AT6" s="301"/>
      <c r="AU6" s="345"/>
      <c r="AV6" s="344"/>
      <c r="AW6" s="344"/>
      <c r="AX6" s="591"/>
      <c r="AZ6" s="346" t="s">
        <v>513</v>
      </c>
      <c r="BA6" s="300"/>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5">
        <v>2018</v>
      </c>
      <c r="AU7" s="679"/>
      <c r="AV7" s="675">
        <v>2019</v>
      </c>
      <c r="AW7" s="675"/>
      <c r="AX7" s="636"/>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6">
        <v>21.209999084472656</v>
      </c>
      <c r="G8" s="559"/>
      <c r="H8" s="546">
        <v>22.770000457763672</v>
      </c>
      <c r="I8" s="559"/>
      <c r="J8" s="546">
        <v>24.940000534057617</v>
      </c>
      <c r="K8" s="559"/>
      <c r="L8" s="546">
        <v>25.65999984741211</v>
      </c>
      <c r="M8" s="559"/>
      <c r="N8" s="546">
        <v>26.559999465942383</v>
      </c>
      <c r="O8" s="559"/>
      <c r="P8" s="546">
        <v>27.969999313354492</v>
      </c>
      <c r="Q8" s="559"/>
      <c r="R8" s="546">
        <v>30.889999389648438</v>
      </c>
      <c r="S8" s="559"/>
      <c r="T8" s="546">
        <v>38.959999084472656</v>
      </c>
      <c r="U8" s="559"/>
      <c r="V8" s="546">
        <v>64.1510009765625</v>
      </c>
      <c r="W8" s="559"/>
      <c r="X8" s="546">
        <v>64.22786712646484</v>
      </c>
      <c r="Y8" s="559"/>
      <c r="Z8" s="546">
        <v>65.36551666259766</v>
      </c>
      <c r="AA8" s="559"/>
      <c r="AB8" s="546">
        <v>69.04856872558594</v>
      </c>
      <c r="AC8" s="559"/>
      <c r="AD8" s="546">
        <v>72.2873764038086</v>
      </c>
      <c r="AE8" s="559"/>
      <c r="AF8" s="546">
        <v>78.49617767333984</v>
      </c>
      <c r="AG8" s="559"/>
      <c r="AH8" s="546">
        <v>78.25640869140625</v>
      </c>
      <c r="AI8" s="559"/>
      <c r="AJ8" s="546">
        <v>75.01878356933594</v>
      </c>
      <c r="AK8" s="559"/>
      <c r="AL8" s="546">
        <v>73.93417358398438</v>
      </c>
      <c r="AM8" s="559"/>
      <c r="AN8" s="546">
        <v>72.85279846191406</v>
      </c>
      <c r="AO8" s="559"/>
      <c r="AP8" s="546">
        <v>74.05126953125</v>
      </c>
      <c r="AQ8" s="559"/>
      <c r="AR8" s="546">
        <v>73.21446228027344</v>
      </c>
      <c r="AS8" s="559"/>
      <c r="AT8" s="546"/>
      <c r="AU8" s="559"/>
      <c r="AV8" s="546"/>
      <c r="AW8" s="559"/>
      <c r="AX8" s="636"/>
      <c r="AY8" s="350"/>
      <c r="AZ8" s="608">
        <v>1</v>
      </c>
      <c r="BA8" s="275" t="s">
        <v>118</v>
      </c>
      <c r="BB8" s="96" t="s">
        <v>78</v>
      </c>
      <c r="BC8" s="79" t="s">
        <v>82</v>
      </c>
      <c r="BD8" s="577"/>
      <c r="BE8" s="79" t="str">
        <f>IF(OR(ISBLANK(F8),ISBLANK(H8)),"N/A",IF(ABS((H8-F8)/F8)&gt;1,"&gt; 100%","ok"))</f>
        <v>ok</v>
      </c>
      <c r="BF8" s="577"/>
      <c r="BG8" s="79" t="str">
        <f>IF(OR(ISBLANK(H8),ISBLANK(J8)),"N/A",IF(ABS((J8-H8)/H8)&gt;0.25,"&gt; 25%","ok"))</f>
        <v>ok</v>
      </c>
      <c r="BH8" s="79"/>
      <c r="BI8" s="79" t="str">
        <f aca="true" t="shared" si="0" ref="BI8:BI14">IF(OR(ISBLANK(J8),ISBLANK(L8)),"N/A",IF(ABS((L8-J8)/J8)&gt;0.25,"&gt; 25%","ok"))</f>
        <v>ok</v>
      </c>
      <c r="BJ8" s="79"/>
      <c r="BK8" s="79" t="str">
        <f aca="true" t="shared" si="1" ref="BK8:BK14">IF(OR(ISBLANK(L8),ISBLANK(N8)),"N/A",IF(ABS((N8-L8)/L8)&gt;0.25,"&gt; 25%","ok"))</f>
        <v>ok</v>
      </c>
      <c r="BL8" s="79"/>
      <c r="BM8" s="79" t="str">
        <f aca="true" t="shared" si="2" ref="BM8:BM14">IF(OR(ISBLANK(N8),ISBLANK(P8)),"N/A",IF(ABS((P8-N8)/N8)&gt;0.25,"&gt; 25%","ok"))</f>
        <v>ok</v>
      </c>
      <c r="BN8" s="79"/>
      <c r="BO8" s="79" t="str">
        <f aca="true" t="shared" si="3" ref="BO8:BO14">IF(OR(ISBLANK(P8),ISBLANK(R8)),"N/A",IF(ABS((R8-P8)/P8)&gt;0.25,"&gt; 25%","ok"))</f>
        <v>ok</v>
      </c>
      <c r="BP8" s="79"/>
      <c r="BQ8" s="79" t="str">
        <f aca="true" t="shared" si="4" ref="BQ8:BQ14">IF(OR(ISBLANK(R8),ISBLANK(T8)),"N/A",IF(ABS((T8-R8)/R8)&gt;0.25,"&gt; 25%","ok"))</f>
        <v>&gt; 25%</v>
      </c>
      <c r="BR8" s="79"/>
      <c r="BS8" s="79" t="str">
        <f aca="true" t="shared" si="5" ref="BS8:BS14">IF(OR(ISBLANK(T8),ISBLANK(V8)),"N/A",IF(ABS((V8-T8)/T8)&gt;0.25,"&gt; 25%","ok"))</f>
        <v>&gt; 25%</v>
      </c>
      <c r="BT8" s="79"/>
      <c r="BU8" s="79" t="str">
        <f aca="true" t="shared" si="6" ref="BU8:BU14">IF(OR(ISBLANK(V8),ISBLANK(X8)),"N/A",IF(ABS((X8-V8)/V8)&gt;0.25,"&gt; 25%","ok"))</f>
        <v>ok</v>
      </c>
      <c r="BV8" s="79"/>
      <c r="BW8" s="79" t="str">
        <f aca="true" t="shared" si="7" ref="BW8:BW14">IF(OR(ISBLANK(X8),ISBLANK(Z8)),"N/A",IF(ABS((Z8-X8)/X8)&gt;0.25,"&gt; 25%","ok"))</f>
        <v>ok</v>
      </c>
      <c r="BX8" s="79"/>
      <c r="BY8" s="79" t="str">
        <f aca="true" t="shared" si="8" ref="BY8:BY14">IF(OR(ISBLANK(Z8),ISBLANK(AB8)),"N/A",IF(ABS((AB8-Z8)/Z8)&gt;0.25,"&gt; 25%","ok"))</f>
        <v>ok</v>
      </c>
      <c r="BZ8" s="79"/>
      <c r="CA8" s="79" t="str">
        <f aca="true" t="shared" si="9" ref="CA8:CA14">IF(OR(ISBLANK(AB8),ISBLANK(AD8)),"N/A",IF(ABS((AD8-AB8)/AB8)&gt;0.25,"&gt; 25%","ok"))</f>
        <v>ok</v>
      </c>
      <c r="CB8" s="79"/>
      <c r="CC8" s="79" t="str">
        <f aca="true" t="shared" si="10" ref="CC8:CC14">IF(OR(ISBLANK(AD8),ISBLANK(AF8)),"N/A",IF(ABS((AF8-AD8)/AD8)&gt;0.25,"&gt; 25%","ok"))</f>
        <v>ok</v>
      </c>
      <c r="CD8" s="79"/>
      <c r="CE8" s="79" t="str">
        <f aca="true" t="shared" si="11" ref="CE8:CE14">IF(OR(ISBLANK(AF8),ISBLANK(AH8)),"N/A",IF(ABS((AH8-AF8)/AF8)&gt;0.25,"&gt; 25%","ok"))</f>
        <v>ok</v>
      </c>
      <c r="CF8" s="79"/>
      <c r="CG8" s="79" t="str">
        <f aca="true" t="shared" si="12" ref="CG8:CG14">IF(OR(ISBLANK(AH8),ISBLANK(AJ8)),"N/A",IF(ABS((AJ8-AH8)/AH8)&gt;0.25,"&gt; 25%","ok"))</f>
        <v>ok</v>
      </c>
      <c r="CH8" s="79"/>
      <c r="CI8" s="79" t="str">
        <f>IF(OR(ISBLANK(AJ8),ISBLANK(AL8)),"N/A",IF(ABS((AL8-AJ8)/AJ8)&gt;0.25,"&gt; 25%","ok"))</f>
        <v>ok</v>
      </c>
      <c r="CJ8" s="79"/>
      <c r="CK8" s="79" t="str">
        <f>IF(OR(ISBLANK(AL8),ISBLANK(AN8)),"N/A",IF(ABS((AN8-AL8)/AL8)&gt;0.25,"&gt; 25%","ok"))</f>
        <v>ok</v>
      </c>
      <c r="CL8" s="79"/>
      <c r="CM8" s="79" t="str">
        <f>IF(OR(ISBLANK(AN8),ISBLANK(AP8)),"N/A",IF(ABS((AP8-AN8)/AN8)&gt;0.25,"&gt; 25%","ok"))</f>
        <v>ok</v>
      </c>
      <c r="CN8" s="79"/>
      <c r="CO8" s="79" t="str">
        <f>IF(OR(ISBLANK(AP8),ISBLANK(AR8)),"N/A",IF(ABS((AR8-AP8)/AP8)&gt;0.25,"&gt; 25%","ok"))</f>
        <v>ok</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6">
        <v>0</v>
      </c>
      <c r="G9" s="559"/>
      <c r="H9" s="546">
        <v>0</v>
      </c>
      <c r="I9" s="559"/>
      <c r="J9" s="546"/>
      <c r="K9" s="559"/>
      <c r="L9" s="546"/>
      <c r="M9" s="559"/>
      <c r="N9" s="546"/>
      <c r="O9" s="559"/>
      <c r="P9" s="546"/>
      <c r="Q9" s="559"/>
      <c r="R9" s="546"/>
      <c r="S9" s="559"/>
      <c r="T9" s="546">
        <v>0.9100000262260437</v>
      </c>
      <c r="U9" s="559"/>
      <c r="V9" s="546">
        <v>0.9800000190734863</v>
      </c>
      <c r="W9" s="559"/>
      <c r="X9" s="546">
        <v>1</v>
      </c>
      <c r="Y9" s="559"/>
      <c r="Z9" s="546">
        <v>1.2000000476837158</v>
      </c>
      <c r="AA9" s="559"/>
      <c r="AB9" s="546">
        <v>1.2000000476837158</v>
      </c>
      <c r="AC9" s="559"/>
      <c r="AD9" s="546">
        <v>1.1349999904632568</v>
      </c>
      <c r="AE9" s="559"/>
      <c r="AF9" s="546">
        <v>1.1369999647140503</v>
      </c>
      <c r="AG9" s="559"/>
      <c r="AH9" s="546">
        <v>1.1369999647140503</v>
      </c>
      <c r="AI9" s="559"/>
      <c r="AJ9" s="546">
        <v>1.340000033378601</v>
      </c>
      <c r="AK9" s="559"/>
      <c r="AL9" s="546">
        <v>1.4500000476837158</v>
      </c>
      <c r="AM9" s="559"/>
      <c r="AN9" s="546">
        <v>1.4500000476837158</v>
      </c>
      <c r="AO9" s="559"/>
      <c r="AP9" s="546">
        <v>1.2589999437332153</v>
      </c>
      <c r="AQ9" s="559"/>
      <c r="AR9" s="546">
        <v>9.895999908447266</v>
      </c>
      <c r="AS9" s="559"/>
      <c r="AT9" s="546"/>
      <c r="AU9" s="559"/>
      <c r="AV9" s="546"/>
      <c r="AW9" s="559"/>
      <c r="AX9" s="636"/>
      <c r="AY9" s="351"/>
      <c r="AZ9" s="565">
        <v>2</v>
      </c>
      <c r="BA9" s="275" t="s">
        <v>119</v>
      </c>
      <c r="BB9" s="81" t="s">
        <v>78</v>
      </c>
      <c r="BC9" s="79" t="s">
        <v>82</v>
      </c>
      <c r="BD9" s="577"/>
      <c r="BE9" s="79" t="e">
        <f>IF(OR(ISBLANK(F9),ISBLANK(H9)),"N/A",IF(ABS((H9-F9)/F9)&gt;1,"&gt; 100%","ok"))</f>
        <v>#DIV/0!</v>
      </c>
      <c r="BF9" s="577"/>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ok</v>
      </c>
      <c r="BT9" s="79"/>
      <c r="BU9" s="79" t="str">
        <f t="shared" si="6"/>
        <v>ok</v>
      </c>
      <c r="BV9" s="79"/>
      <c r="BW9" s="79" t="str">
        <f t="shared" si="7"/>
        <v>ok</v>
      </c>
      <c r="BX9" s="79"/>
      <c r="BY9" s="79" t="str">
        <f t="shared" si="8"/>
        <v>ok</v>
      </c>
      <c r="BZ9" s="79"/>
      <c r="CA9" s="79" t="str">
        <f t="shared" si="9"/>
        <v>ok</v>
      </c>
      <c r="CB9" s="79"/>
      <c r="CC9" s="79" t="str">
        <f t="shared" si="10"/>
        <v>ok</v>
      </c>
      <c r="CD9" s="79"/>
      <c r="CE9" s="79" t="str">
        <f t="shared" si="11"/>
        <v>ok</v>
      </c>
      <c r="CF9" s="79"/>
      <c r="CG9" s="79" t="str">
        <f t="shared" si="12"/>
        <v>ok</v>
      </c>
      <c r="CH9" s="79"/>
      <c r="CI9" s="79" t="str">
        <f>IF(OR(ISBLANK(AJ9),ISBLANK(AL9)),"N/A",IF(ABS((AL9-AJ9)/AJ9)&gt;0.25,"&gt; 25%","ok"))</f>
        <v>ok</v>
      </c>
      <c r="CJ9" s="79"/>
      <c r="CK9" s="79" t="str">
        <f>IF(OR(ISBLANK(AL9),ISBLANK(AN9)),"N/A",IF(ABS((AN9-AL9)/AL9)&gt;0.25,"&gt; 25%","ok"))</f>
        <v>ok</v>
      </c>
      <c r="CL9" s="79"/>
      <c r="CM9" s="79" t="str">
        <f>IF(OR(ISBLANK(AN9),ISBLANK(AP9)),"N/A",IF(ABS((AP9-AN9)/AN9)&gt;0.25,"&gt; 25%","ok"))</f>
        <v>ok</v>
      </c>
      <c r="CN9" s="79"/>
      <c r="CO9" s="79" t="str">
        <f>IF(OR(ISBLANK(AP9),ISBLANK(AR9)),"N/A",IF(ABS((AR9-AP9)/AP9)&gt;0.25,"&gt; 25%","ok"))</f>
        <v>&gt; 25%</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8">
        <v>5001</v>
      </c>
      <c r="C10" s="699">
        <v>3</v>
      </c>
      <c r="D10" s="700" t="s">
        <v>625</v>
      </c>
      <c r="E10" s="228" t="s">
        <v>299</v>
      </c>
      <c r="F10" s="572">
        <v>21.209999084472656</v>
      </c>
      <c r="G10" s="555"/>
      <c r="H10" s="572">
        <v>22.770000457763672</v>
      </c>
      <c r="I10" s="555"/>
      <c r="J10" s="572">
        <v>24.940000534057617</v>
      </c>
      <c r="K10" s="555"/>
      <c r="L10" s="572">
        <v>25.65999984741211</v>
      </c>
      <c r="M10" s="555"/>
      <c r="N10" s="572">
        <v>26.559999465942383</v>
      </c>
      <c r="O10" s="555"/>
      <c r="P10" s="572">
        <v>27.969999313354492</v>
      </c>
      <c r="Q10" s="555"/>
      <c r="R10" s="572">
        <v>30.889999389648438</v>
      </c>
      <c r="S10" s="555"/>
      <c r="T10" s="572">
        <v>39.869998931884766</v>
      </c>
      <c r="U10" s="555"/>
      <c r="V10" s="572">
        <v>65.13099670410156</v>
      </c>
      <c r="W10" s="555"/>
      <c r="X10" s="572">
        <v>65.22786712646484</v>
      </c>
      <c r="Y10" s="555"/>
      <c r="Z10" s="572">
        <v>66.56552124023438</v>
      </c>
      <c r="AA10" s="555"/>
      <c r="AB10" s="572">
        <v>70.24857330322266</v>
      </c>
      <c r="AC10" s="555"/>
      <c r="AD10" s="572">
        <v>73.42237854003906</v>
      </c>
      <c r="AE10" s="555"/>
      <c r="AF10" s="572">
        <v>79.6331787109375</v>
      </c>
      <c r="AG10" s="555"/>
      <c r="AH10" s="572">
        <v>79.3934097290039</v>
      </c>
      <c r="AI10" s="555"/>
      <c r="AJ10" s="572">
        <v>76.35877990722656</v>
      </c>
      <c r="AK10" s="555"/>
      <c r="AL10" s="572">
        <v>75.38417053222656</v>
      </c>
      <c r="AM10" s="555"/>
      <c r="AN10" s="572">
        <v>74.30279541015625</v>
      </c>
      <c r="AO10" s="555"/>
      <c r="AP10" s="572">
        <v>75.31027221679688</v>
      </c>
      <c r="AQ10" s="555"/>
      <c r="AR10" s="572">
        <v>83.11045837402344</v>
      </c>
      <c r="AS10" s="555"/>
      <c r="AT10" s="572"/>
      <c r="AU10" s="555"/>
      <c r="AV10" s="572"/>
      <c r="AW10" s="555"/>
      <c r="AX10" s="637"/>
      <c r="AY10" s="357"/>
      <c r="AZ10" s="605">
        <v>3</v>
      </c>
      <c r="BA10" s="359" t="s">
        <v>120</v>
      </c>
      <c r="BB10" s="81" t="s">
        <v>78</v>
      </c>
      <c r="BC10" s="103" t="s">
        <v>82</v>
      </c>
      <c r="BD10" s="582"/>
      <c r="BE10" s="79" t="str">
        <f>IF(OR(ISBLANK(F10),ISBLANK(H10)),"N/A",IF(ABS((H10-F10)/F10)&gt;1,"&gt; 100%","ok"))</f>
        <v>ok</v>
      </c>
      <c r="BF10" s="577"/>
      <c r="BG10" s="79" t="str">
        <f t="shared" si="13"/>
        <v>ok</v>
      </c>
      <c r="BH10" s="79"/>
      <c r="BI10" s="79" t="str">
        <f t="shared" si="0"/>
        <v>ok</v>
      </c>
      <c r="BJ10" s="79"/>
      <c r="BK10" s="79" t="str">
        <f t="shared" si="1"/>
        <v>ok</v>
      </c>
      <c r="BL10" s="79"/>
      <c r="BM10" s="79" t="str">
        <f t="shared" si="2"/>
        <v>ok</v>
      </c>
      <c r="BN10" s="79"/>
      <c r="BO10" s="79" t="str">
        <f t="shared" si="3"/>
        <v>ok</v>
      </c>
      <c r="BP10" s="79"/>
      <c r="BQ10" s="79" t="str">
        <f t="shared" si="4"/>
        <v>&gt; 25%</v>
      </c>
      <c r="BR10" s="79"/>
      <c r="BS10" s="79" t="str">
        <f t="shared" si="5"/>
        <v>&gt; 25%</v>
      </c>
      <c r="BT10" s="79"/>
      <c r="BU10" s="79" t="str">
        <f t="shared" si="6"/>
        <v>ok</v>
      </c>
      <c r="BV10" s="79"/>
      <c r="BW10" s="79" t="str">
        <f t="shared" si="7"/>
        <v>ok</v>
      </c>
      <c r="BX10" s="79"/>
      <c r="BY10" s="79" t="str">
        <f t="shared" si="8"/>
        <v>ok</v>
      </c>
      <c r="BZ10" s="79"/>
      <c r="CA10" s="79" t="str">
        <f t="shared" si="9"/>
        <v>ok</v>
      </c>
      <c r="CB10" s="79"/>
      <c r="CC10" s="79" t="str">
        <f t="shared" si="10"/>
        <v>ok</v>
      </c>
      <c r="CD10" s="79"/>
      <c r="CE10" s="79" t="str">
        <f t="shared" si="11"/>
        <v>ok</v>
      </c>
      <c r="CF10" s="79"/>
      <c r="CG10" s="79" t="str">
        <f t="shared" si="12"/>
        <v>ok</v>
      </c>
      <c r="CH10" s="79"/>
      <c r="CI10" s="79" t="str">
        <f>IF(OR(ISBLANK(AJ10),ISBLANK(AL10)),"N/A",IF(ABS((AL10-AJ10)/AJ10)&gt;0.25,"&gt; 25%","ok"))</f>
        <v>ok</v>
      </c>
      <c r="CJ10" s="79"/>
      <c r="CK10" s="79" t="str">
        <f>IF(OR(ISBLANK(AL10),ISBLANK(AN10)),"N/A",IF(ABS((AN10-AL10)/AL10)&gt;0.25,"&gt; 25%","ok"))</f>
        <v>ok</v>
      </c>
      <c r="CL10" s="79"/>
      <c r="CM10" s="79" t="str">
        <f>IF(OR(ISBLANK(AN10),ISBLANK(AP10)),"N/A",IF(ABS((AP10-AN10)/AN10)&gt;0.25,"&gt; 25%","ok"))</f>
        <v>ok</v>
      </c>
      <c r="CN10" s="79"/>
      <c r="CO10" s="79" t="str">
        <f>IF(OR(ISBLANK(AP10),ISBLANK(AR10)),"N/A",IF(ABS((AR10-AP10)/AP10)&gt;0.25,"&gt; 25%","ok"))</f>
        <v>ok</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8">
        <v>30</v>
      </c>
      <c r="C11" s="701">
        <v>4</v>
      </c>
      <c r="D11" s="702" t="s">
        <v>605</v>
      </c>
      <c r="E11" s="237" t="s">
        <v>299</v>
      </c>
      <c r="F11" s="544"/>
      <c r="G11" s="554"/>
      <c r="H11" s="544"/>
      <c r="I11" s="554"/>
      <c r="J11" s="544"/>
      <c r="K11" s="554"/>
      <c r="L11" s="544"/>
      <c r="M11" s="554"/>
      <c r="N11" s="544"/>
      <c r="O11" s="554"/>
      <c r="P11" s="544"/>
      <c r="Q11" s="554"/>
      <c r="R11" s="544"/>
      <c r="S11" s="554"/>
      <c r="T11" s="544"/>
      <c r="U11" s="554"/>
      <c r="V11" s="544"/>
      <c r="W11" s="554"/>
      <c r="X11" s="544"/>
      <c r="Y11" s="554"/>
      <c r="Z11" s="544"/>
      <c r="AA11" s="554"/>
      <c r="AB11" s="544"/>
      <c r="AC11" s="554"/>
      <c r="AD11" s="544"/>
      <c r="AE11" s="554"/>
      <c r="AF11" s="544"/>
      <c r="AG11" s="554"/>
      <c r="AH11" s="544"/>
      <c r="AI11" s="554"/>
      <c r="AJ11" s="544"/>
      <c r="AK11" s="554"/>
      <c r="AL11" s="544"/>
      <c r="AM11" s="554"/>
      <c r="AN11" s="544"/>
      <c r="AO11" s="554"/>
      <c r="AP11" s="544"/>
      <c r="AQ11" s="554"/>
      <c r="AR11" s="544"/>
      <c r="AS11" s="554"/>
      <c r="AT11" s="544"/>
      <c r="AU11" s="554"/>
      <c r="AV11" s="544"/>
      <c r="AW11" s="554"/>
      <c r="AX11" s="637"/>
      <c r="AY11" s="357"/>
      <c r="AZ11" s="674">
        <v>4</v>
      </c>
      <c r="BA11" s="704" t="s">
        <v>605</v>
      </c>
      <c r="BB11" s="672" t="s">
        <v>78</v>
      </c>
      <c r="BC11" s="103" t="s">
        <v>82</v>
      </c>
      <c r="BD11" s="582"/>
      <c r="BE11" s="79" t="str">
        <f>IF(OR(ISBLANK(F11),ISBLANK(H11)),"N/A",IF(ABS((H11-F11)/F11)&gt;1,"&gt; 100%","ok"))</f>
        <v>N/A</v>
      </c>
      <c r="BF11" s="577"/>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8">
        <v>31</v>
      </c>
      <c r="C12" s="699">
        <v>5</v>
      </c>
      <c r="D12" s="700" t="s">
        <v>606</v>
      </c>
      <c r="E12" s="237"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X12" s="637"/>
      <c r="AY12" s="357"/>
      <c r="AZ12" s="674">
        <v>5</v>
      </c>
      <c r="BA12" s="704" t="s">
        <v>606</v>
      </c>
      <c r="BB12" s="672" t="s">
        <v>78</v>
      </c>
      <c r="BC12" s="103" t="s">
        <v>82</v>
      </c>
      <c r="BD12" s="582"/>
      <c r="BE12" s="79" t="str">
        <f>IF(OR(ISBLANK(F12),ISBLANK(H12)),"N/A",IF(ABS((H12-F12)/F12)&gt;1,"&gt; 100%","ok"))</f>
        <v>N/A</v>
      </c>
      <c r="BF12" s="577"/>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76">
        <v>5002</v>
      </c>
      <c r="C13" s="565"/>
      <c r="D13" s="564" t="s">
        <v>438</v>
      </c>
      <c r="E13" s="565"/>
      <c r="F13" s="566"/>
      <c r="G13" s="567"/>
      <c r="H13" s="566"/>
      <c r="I13" s="567"/>
      <c r="J13" s="566"/>
      <c r="K13" s="567"/>
      <c r="L13" s="566"/>
      <c r="M13" s="567"/>
      <c r="N13" s="566"/>
      <c r="O13" s="567"/>
      <c r="P13" s="566"/>
      <c r="Q13" s="567"/>
      <c r="R13" s="566"/>
      <c r="S13" s="567"/>
      <c r="T13" s="566"/>
      <c r="U13" s="567"/>
      <c r="V13" s="566"/>
      <c r="W13" s="567"/>
      <c r="X13" s="566"/>
      <c r="Y13" s="567"/>
      <c r="Z13" s="566"/>
      <c r="AA13" s="567"/>
      <c r="AB13" s="566"/>
      <c r="AC13" s="567"/>
      <c r="AD13" s="566"/>
      <c r="AE13" s="567"/>
      <c r="AF13" s="566"/>
      <c r="AG13" s="567"/>
      <c r="AH13" s="566"/>
      <c r="AI13" s="567"/>
      <c r="AJ13" s="566"/>
      <c r="AK13" s="567"/>
      <c r="AL13" s="566"/>
      <c r="AM13" s="567"/>
      <c r="AN13" s="566"/>
      <c r="AO13" s="567"/>
      <c r="AP13" s="566"/>
      <c r="AQ13" s="567"/>
      <c r="AR13" s="566"/>
      <c r="AS13" s="567"/>
      <c r="AT13" s="566"/>
      <c r="AU13" s="567"/>
      <c r="AV13" s="566"/>
      <c r="AW13" s="567"/>
      <c r="AX13" s="476"/>
      <c r="AY13" s="197"/>
      <c r="AZ13" s="565"/>
      <c r="BA13" s="361" t="s">
        <v>438</v>
      </c>
      <c r="BB13" s="81"/>
      <c r="BC13" s="79"/>
      <c r="BD13" s="577"/>
      <c r="BE13" s="79"/>
      <c r="BF13" s="577"/>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60" customFormat="1" ht="15" customHeight="1">
      <c r="A14" s="194"/>
      <c r="B14" s="676">
        <v>255</v>
      </c>
      <c r="C14" s="701">
        <v>6</v>
      </c>
      <c r="D14" s="362" t="s">
        <v>127</v>
      </c>
      <c r="E14" s="237" t="s">
        <v>299</v>
      </c>
      <c r="F14" s="546"/>
      <c r="G14" s="559"/>
      <c r="H14" s="546"/>
      <c r="I14" s="559"/>
      <c r="J14" s="546"/>
      <c r="K14" s="559"/>
      <c r="L14" s="546"/>
      <c r="M14" s="559"/>
      <c r="N14" s="546"/>
      <c r="O14" s="559"/>
      <c r="P14" s="546"/>
      <c r="Q14" s="559"/>
      <c r="R14" s="546"/>
      <c r="S14" s="559"/>
      <c r="T14" s="546"/>
      <c r="U14" s="559"/>
      <c r="V14" s="546"/>
      <c r="W14" s="559"/>
      <c r="X14" s="546"/>
      <c r="Y14" s="559"/>
      <c r="Z14" s="546"/>
      <c r="AA14" s="559"/>
      <c r="AB14" s="546"/>
      <c r="AC14" s="559"/>
      <c r="AD14" s="546"/>
      <c r="AE14" s="559"/>
      <c r="AF14" s="546"/>
      <c r="AG14" s="559"/>
      <c r="AH14" s="546"/>
      <c r="AI14" s="559"/>
      <c r="AJ14" s="546"/>
      <c r="AK14" s="559"/>
      <c r="AL14" s="546"/>
      <c r="AM14" s="559"/>
      <c r="AN14" s="546"/>
      <c r="AO14" s="559"/>
      <c r="AP14" s="546"/>
      <c r="AQ14" s="559"/>
      <c r="AR14" s="546"/>
      <c r="AS14" s="559"/>
      <c r="AT14" s="546"/>
      <c r="AU14" s="559"/>
      <c r="AV14" s="546"/>
      <c r="AW14" s="559"/>
      <c r="AX14" s="476"/>
      <c r="AY14" s="197"/>
      <c r="AZ14" s="565">
        <v>6</v>
      </c>
      <c r="BA14" s="363" t="s">
        <v>127</v>
      </c>
      <c r="BB14" s="81" t="s">
        <v>78</v>
      </c>
      <c r="BC14" s="79" t="s">
        <v>82</v>
      </c>
      <c r="BD14" s="577"/>
      <c r="BE14" s="79" t="str">
        <f aca="true" t="shared" si="14" ref="BE14:BE30">IF(OR(ISBLANK(F14),ISBLANK(H14)),"N/A",IF(ABS((H14-F14)/F14)&gt;1,"&gt; 100%","ok"))</f>
        <v>N/A</v>
      </c>
      <c r="BF14" s="577"/>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60" customFormat="1" ht="15" customHeight="1">
      <c r="A15" s="194"/>
      <c r="B15" s="676">
        <v>256</v>
      </c>
      <c r="C15" s="701">
        <v>7</v>
      </c>
      <c r="D15" s="362" t="s">
        <v>383</v>
      </c>
      <c r="E15" s="237" t="s">
        <v>299</v>
      </c>
      <c r="F15" s="546"/>
      <c r="G15" s="559"/>
      <c r="H15" s="546"/>
      <c r="I15" s="559"/>
      <c r="J15" s="546"/>
      <c r="K15" s="559"/>
      <c r="L15" s="546"/>
      <c r="M15" s="559"/>
      <c r="N15" s="546"/>
      <c r="O15" s="559"/>
      <c r="P15" s="546"/>
      <c r="Q15" s="559"/>
      <c r="R15" s="546"/>
      <c r="S15" s="559"/>
      <c r="T15" s="546"/>
      <c r="U15" s="559"/>
      <c r="V15" s="546"/>
      <c r="W15" s="559"/>
      <c r="X15" s="546"/>
      <c r="Y15" s="559"/>
      <c r="Z15" s="546"/>
      <c r="AA15" s="559"/>
      <c r="AB15" s="546"/>
      <c r="AC15" s="559"/>
      <c r="AD15" s="546"/>
      <c r="AE15" s="559"/>
      <c r="AF15" s="546"/>
      <c r="AG15" s="559"/>
      <c r="AH15" s="546"/>
      <c r="AI15" s="559"/>
      <c r="AJ15" s="546"/>
      <c r="AK15" s="559"/>
      <c r="AL15" s="546"/>
      <c r="AM15" s="559"/>
      <c r="AN15" s="546"/>
      <c r="AO15" s="559"/>
      <c r="AP15" s="546"/>
      <c r="AQ15" s="559"/>
      <c r="AR15" s="546"/>
      <c r="AS15" s="559"/>
      <c r="AT15" s="546"/>
      <c r="AU15" s="559"/>
      <c r="AV15" s="546"/>
      <c r="AW15" s="559"/>
      <c r="AX15" s="476"/>
      <c r="AY15" s="197"/>
      <c r="AZ15" s="565">
        <v>7</v>
      </c>
      <c r="BA15" s="363" t="s">
        <v>383</v>
      </c>
      <c r="BB15" s="81" t="s">
        <v>78</v>
      </c>
      <c r="BC15" s="79" t="s">
        <v>82</v>
      </c>
      <c r="BD15" s="577"/>
      <c r="BE15" s="79" t="str">
        <f t="shared" si="14"/>
        <v>N/A</v>
      </c>
      <c r="BF15" s="577"/>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76">
        <v>257</v>
      </c>
      <c r="C16" s="701">
        <v>8</v>
      </c>
      <c r="D16" s="362" t="s">
        <v>117</v>
      </c>
      <c r="E16" s="237" t="s">
        <v>299</v>
      </c>
      <c r="F16" s="546"/>
      <c r="G16" s="559"/>
      <c r="H16" s="546"/>
      <c r="I16" s="559"/>
      <c r="J16" s="546"/>
      <c r="K16" s="559"/>
      <c r="L16" s="546"/>
      <c r="M16" s="559"/>
      <c r="N16" s="546"/>
      <c r="O16" s="559"/>
      <c r="P16" s="546"/>
      <c r="Q16" s="559"/>
      <c r="R16" s="546"/>
      <c r="S16" s="559"/>
      <c r="T16" s="546"/>
      <c r="U16" s="559"/>
      <c r="V16" s="546"/>
      <c r="W16" s="559"/>
      <c r="X16" s="546"/>
      <c r="Y16" s="559"/>
      <c r="Z16" s="546"/>
      <c r="AA16" s="559"/>
      <c r="AB16" s="546"/>
      <c r="AC16" s="559"/>
      <c r="AD16" s="546"/>
      <c r="AE16" s="559"/>
      <c r="AF16" s="546"/>
      <c r="AG16" s="559"/>
      <c r="AH16" s="546"/>
      <c r="AI16" s="559"/>
      <c r="AJ16" s="546"/>
      <c r="AK16" s="559"/>
      <c r="AL16" s="546"/>
      <c r="AM16" s="559"/>
      <c r="AN16" s="546"/>
      <c r="AO16" s="559"/>
      <c r="AP16" s="546"/>
      <c r="AQ16" s="559"/>
      <c r="AR16" s="546"/>
      <c r="AS16" s="559"/>
      <c r="AT16" s="546"/>
      <c r="AU16" s="559"/>
      <c r="AV16" s="546"/>
      <c r="AW16" s="559"/>
      <c r="AX16" s="476"/>
      <c r="AY16" s="197"/>
      <c r="AZ16" s="565">
        <v>8</v>
      </c>
      <c r="BA16" s="363" t="s">
        <v>117</v>
      </c>
      <c r="BB16" s="81" t="s">
        <v>78</v>
      </c>
      <c r="BC16" s="79" t="s">
        <v>82</v>
      </c>
      <c r="BD16" s="577"/>
      <c r="BE16" s="79" t="str">
        <f t="shared" si="14"/>
        <v>N/A</v>
      </c>
      <c r="BF16" s="577"/>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76">
        <v>263</v>
      </c>
      <c r="C17" s="701">
        <v>9</v>
      </c>
      <c r="D17" s="630" t="s">
        <v>589</v>
      </c>
      <c r="E17" s="237" t="s">
        <v>299</v>
      </c>
      <c r="F17" s="546"/>
      <c r="G17" s="559"/>
      <c r="H17" s="546"/>
      <c r="I17" s="559"/>
      <c r="J17" s="546"/>
      <c r="K17" s="559"/>
      <c r="L17" s="546"/>
      <c r="M17" s="559"/>
      <c r="N17" s="546"/>
      <c r="O17" s="559"/>
      <c r="P17" s="546"/>
      <c r="Q17" s="559"/>
      <c r="R17" s="546"/>
      <c r="S17" s="559"/>
      <c r="T17" s="546"/>
      <c r="U17" s="559"/>
      <c r="V17" s="546"/>
      <c r="W17" s="559"/>
      <c r="X17" s="546"/>
      <c r="Y17" s="559"/>
      <c r="Z17" s="546"/>
      <c r="AA17" s="559"/>
      <c r="AB17" s="546"/>
      <c r="AC17" s="559"/>
      <c r="AD17" s="546"/>
      <c r="AE17" s="559"/>
      <c r="AF17" s="546"/>
      <c r="AG17" s="559"/>
      <c r="AH17" s="546"/>
      <c r="AI17" s="559"/>
      <c r="AJ17" s="546"/>
      <c r="AK17" s="559"/>
      <c r="AL17" s="546"/>
      <c r="AM17" s="559"/>
      <c r="AN17" s="546"/>
      <c r="AO17" s="559"/>
      <c r="AP17" s="546"/>
      <c r="AQ17" s="559"/>
      <c r="AR17" s="546"/>
      <c r="AS17" s="559"/>
      <c r="AT17" s="546"/>
      <c r="AU17" s="559"/>
      <c r="AV17" s="546"/>
      <c r="AW17" s="559"/>
      <c r="AX17" s="476"/>
      <c r="AY17" s="197"/>
      <c r="AZ17" s="565">
        <v>9</v>
      </c>
      <c r="BA17" s="428" t="s">
        <v>566</v>
      </c>
      <c r="BB17" s="81" t="s">
        <v>78</v>
      </c>
      <c r="BC17" s="79"/>
      <c r="BD17" s="577"/>
      <c r="BE17" s="79" t="str">
        <f t="shared" si="14"/>
        <v>N/A</v>
      </c>
      <c r="BF17" s="577"/>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76">
        <v>264</v>
      </c>
      <c r="C18" s="701">
        <v>10</v>
      </c>
      <c r="D18" s="362" t="s">
        <v>520</v>
      </c>
      <c r="E18" s="237" t="s">
        <v>299</v>
      </c>
      <c r="F18" s="546"/>
      <c r="G18" s="559"/>
      <c r="H18" s="546"/>
      <c r="I18" s="559"/>
      <c r="J18" s="546"/>
      <c r="K18" s="559"/>
      <c r="L18" s="546"/>
      <c r="M18" s="559"/>
      <c r="N18" s="546"/>
      <c r="O18" s="559"/>
      <c r="P18" s="546"/>
      <c r="Q18" s="559"/>
      <c r="R18" s="546"/>
      <c r="S18" s="559"/>
      <c r="T18" s="546"/>
      <c r="U18" s="559"/>
      <c r="V18" s="546"/>
      <c r="W18" s="559"/>
      <c r="X18" s="546"/>
      <c r="Y18" s="559"/>
      <c r="Z18" s="546"/>
      <c r="AA18" s="555"/>
      <c r="AB18" s="546"/>
      <c r="AC18" s="559"/>
      <c r="AD18" s="546"/>
      <c r="AE18" s="559"/>
      <c r="AF18" s="546"/>
      <c r="AG18" s="559"/>
      <c r="AH18" s="546"/>
      <c r="AI18" s="559"/>
      <c r="AJ18" s="546"/>
      <c r="AK18" s="559"/>
      <c r="AL18" s="546"/>
      <c r="AM18" s="559"/>
      <c r="AN18" s="546"/>
      <c r="AO18" s="559"/>
      <c r="AP18" s="546"/>
      <c r="AQ18" s="559"/>
      <c r="AR18" s="546"/>
      <c r="AS18" s="559"/>
      <c r="AT18" s="546"/>
      <c r="AU18" s="559"/>
      <c r="AV18" s="546"/>
      <c r="AW18" s="559"/>
      <c r="AX18" s="476"/>
      <c r="AY18" s="197"/>
      <c r="AZ18" s="565">
        <v>10</v>
      </c>
      <c r="BA18" s="363" t="s">
        <v>520</v>
      </c>
      <c r="BB18" s="81" t="s">
        <v>78</v>
      </c>
      <c r="BC18" s="79"/>
      <c r="BD18" s="577"/>
      <c r="BE18" s="79" t="str">
        <f t="shared" si="14"/>
        <v>N/A</v>
      </c>
      <c r="BF18" s="577"/>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15" customHeight="1">
      <c r="A19" s="194"/>
      <c r="B19" s="676">
        <v>258</v>
      </c>
      <c r="C19" s="701">
        <v>11</v>
      </c>
      <c r="D19" s="362" t="s">
        <v>489</v>
      </c>
      <c r="E19" s="237" t="s">
        <v>299</v>
      </c>
      <c r="F19" s="546"/>
      <c r="G19" s="559"/>
      <c r="H19" s="546"/>
      <c r="I19" s="559"/>
      <c r="J19" s="546"/>
      <c r="K19" s="559"/>
      <c r="L19" s="546"/>
      <c r="M19" s="559"/>
      <c r="N19" s="546"/>
      <c r="O19" s="559"/>
      <c r="P19" s="546"/>
      <c r="Q19" s="559"/>
      <c r="R19" s="546"/>
      <c r="S19" s="559"/>
      <c r="T19" s="546"/>
      <c r="U19" s="559"/>
      <c r="V19" s="546"/>
      <c r="W19" s="559"/>
      <c r="X19" s="546"/>
      <c r="Y19" s="559"/>
      <c r="Z19" s="546"/>
      <c r="AA19" s="554"/>
      <c r="AB19" s="546"/>
      <c r="AC19" s="559"/>
      <c r="AD19" s="546"/>
      <c r="AE19" s="559"/>
      <c r="AF19" s="546"/>
      <c r="AG19" s="559"/>
      <c r="AH19" s="546"/>
      <c r="AI19" s="559"/>
      <c r="AJ19" s="546"/>
      <c r="AK19" s="559"/>
      <c r="AL19" s="546"/>
      <c r="AM19" s="559"/>
      <c r="AN19" s="546"/>
      <c r="AO19" s="559"/>
      <c r="AP19" s="546"/>
      <c r="AQ19" s="559"/>
      <c r="AR19" s="546"/>
      <c r="AS19" s="559"/>
      <c r="AT19" s="546"/>
      <c r="AU19" s="559"/>
      <c r="AV19" s="546"/>
      <c r="AW19" s="559"/>
      <c r="AX19" s="476"/>
      <c r="AY19" s="197"/>
      <c r="AZ19" s="565">
        <v>11</v>
      </c>
      <c r="BA19" s="363" t="s">
        <v>489</v>
      </c>
      <c r="BB19" s="81" t="s">
        <v>78</v>
      </c>
      <c r="BC19" s="79" t="s">
        <v>82</v>
      </c>
      <c r="BD19" s="577"/>
      <c r="BE19" s="79" t="str">
        <f t="shared" si="14"/>
        <v>N/A</v>
      </c>
      <c r="BF19" s="577"/>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5.5" customHeight="1">
      <c r="A20" s="194"/>
      <c r="B20" s="676">
        <v>265</v>
      </c>
      <c r="C20" s="701">
        <v>12</v>
      </c>
      <c r="D20" s="631" t="s">
        <v>517</v>
      </c>
      <c r="E20" s="237" t="s">
        <v>299</v>
      </c>
      <c r="F20" s="546"/>
      <c r="G20" s="559"/>
      <c r="H20" s="546"/>
      <c r="I20" s="559"/>
      <c r="J20" s="546"/>
      <c r="K20" s="559"/>
      <c r="L20" s="546"/>
      <c r="M20" s="559"/>
      <c r="N20" s="546"/>
      <c r="O20" s="559"/>
      <c r="P20" s="546"/>
      <c r="Q20" s="559"/>
      <c r="R20" s="546"/>
      <c r="S20" s="559"/>
      <c r="T20" s="546"/>
      <c r="U20" s="559"/>
      <c r="V20" s="546"/>
      <c r="W20" s="559"/>
      <c r="X20" s="546"/>
      <c r="Y20" s="559"/>
      <c r="Z20" s="546"/>
      <c r="AA20" s="554"/>
      <c r="AB20" s="546"/>
      <c r="AC20" s="559"/>
      <c r="AD20" s="546"/>
      <c r="AE20" s="559"/>
      <c r="AF20" s="546"/>
      <c r="AG20" s="559"/>
      <c r="AH20" s="546"/>
      <c r="AI20" s="559"/>
      <c r="AJ20" s="546"/>
      <c r="AK20" s="559"/>
      <c r="AL20" s="546"/>
      <c r="AM20" s="559"/>
      <c r="AN20" s="546"/>
      <c r="AO20" s="559"/>
      <c r="AP20" s="546"/>
      <c r="AQ20" s="559"/>
      <c r="AR20" s="546"/>
      <c r="AS20" s="559"/>
      <c r="AT20" s="546"/>
      <c r="AU20" s="559"/>
      <c r="AV20" s="546"/>
      <c r="AW20" s="559"/>
      <c r="AX20" s="476"/>
      <c r="AY20" s="197"/>
      <c r="AZ20" s="565">
        <v>12</v>
      </c>
      <c r="BA20" s="363" t="s">
        <v>517</v>
      </c>
      <c r="BB20" s="81" t="s">
        <v>78</v>
      </c>
      <c r="BC20" s="79"/>
      <c r="BD20" s="577"/>
      <c r="BE20" s="79" t="str">
        <f t="shared" si="14"/>
        <v>N/A</v>
      </c>
      <c r="BF20" s="577"/>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21" customHeight="1">
      <c r="A21" s="194"/>
      <c r="B21" s="676">
        <v>259</v>
      </c>
      <c r="C21" s="701">
        <v>13</v>
      </c>
      <c r="D21" s="423" t="s">
        <v>590</v>
      </c>
      <c r="E21" s="237" t="s">
        <v>299</v>
      </c>
      <c r="F21" s="546"/>
      <c r="G21" s="559"/>
      <c r="H21" s="546"/>
      <c r="I21" s="559"/>
      <c r="J21" s="546"/>
      <c r="K21" s="559"/>
      <c r="L21" s="546"/>
      <c r="M21" s="559"/>
      <c r="N21" s="546"/>
      <c r="O21" s="559"/>
      <c r="P21" s="546"/>
      <c r="Q21" s="559"/>
      <c r="R21" s="546"/>
      <c r="S21" s="559"/>
      <c r="T21" s="546"/>
      <c r="U21" s="559"/>
      <c r="V21" s="546"/>
      <c r="W21" s="559"/>
      <c r="X21" s="546"/>
      <c r="Y21" s="559"/>
      <c r="Z21" s="546"/>
      <c r="AA21" s="559"/>
      <c r="AB21" s="546"/>
      <c r="AC21" s="559"/>
      <c r="AD21" s="546"/>
      <c r="AE21" s="559"/>
      <c r="AF21" s="546"/>
      <c r="AG21" s="559"/>
      <c r="AH21" s="546"/>
      <c r="AI21" s="559"/>
      <c r="AJ21" s="546"/>
      <c r="AK21" s="559"/>
      <c r="AL21" s="546"/>
      <c r="AM21" s="559"/>
      <c r="AN21" s="546"/>
      <c r="AO21" s="559"/>
      <c r="AP21" s="546"/>
      <c r="AQ21" s="559"/>
      <c r="AR21" s="546"/>
      <c r="AS21" s="559"/>
      <c r="AT21" s="546"/>
      <c r="AU21" s="559"/>
      <c r="AV21" s="546"/>
      <c r="AW21" s="559"/>
      <c r="AX21" s="476"/>
      <c r="AY21" s="197"/>
      <c r="AZ21" s="565">
        <v>13</v>
      </c>
      <c r="BA21" s="426" t="s">
        <v>567</v>
      </c>
      <c r="BB21" s="81" t="s">
        <v>78</v>
      </c>
      <c r="BC21" s="79" t="s">
        <v>82</v>
      </c>
      <c r="BD21" s="577"/>
      <c r="BE21" s="79" t="str">
        <f t="shared" si="14"/>
        <v>N/A</v>
      </c>
      <c r="BF21" s="577"/>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76">
        <v>266</v>
      </c>
      <c r="C22" s="701">
        <v>14</v>
      </c>
      <c r="D22" s="631" t="s">
        <v>518</v>
      </c>
      <c r="E22" s="237" t="s">
        <v>299</v>
      </c>
      <c r="F22" s="546"/>
      <c r="G22" s="559"/>
      <c r="H22" s="546"/>
      <c r="I22" s="559"/>
      <c r="J22" s="546"/>
      <c r="K22" s="559"/>
      <c r="L22" s="546"/>
      <c r="M22" s="559"/>
      <c r="N22" s="546"/>
      <c r="O22" s="559"/>
      <c r="P22" s="546"/>
      <c r="Q22" s="559"/>
      <c r="R22" s="546"/>
      <c r="S22" s="559"/>
      <c r="T22" s="546"/>
      <c r="U22" s="559"/>
      <c r="V22" s="546"/>
      <c r="W22" s="559"/>
      <c r="X22" s="546"/>
      <c r="Y22" s="559"/>
      <c r="Z22" s="546"/>
      <c r="AA22" s="559"/>
      <c r="AB22" s="546"/>
      <c r="AC22" s="559"/>
      <c r="AD22" s="546"/>
      <c r="AE22" s="559"/>
      <c r="AF22" s="546"/>
      <c r="AG22" s="559"/>
      <c r="AH22" s="546"/>
      <c r="AI22" s="559"/>
      <c r="AJ22" s="546"/>
      <c r="AK22" s="559"/>
      <c r="AL22" s="546"/>
      <c r="AM22" s="559"/>
      <c r="AN22" s="546"/>
      <c r="AO22" s="559"/>
      <c r="AP22" s="546"/>
      <c r="AQ22" s="559"/>
      <c r="AR22" s="546"/>
      <c r="AS22" s="559"/>
      <c r="AT22" s="546"/>
      <c r="AU22" s="559"/>
      <c r="AV22" s="546"/>
      <c r="AW22" s="559"/>
      <c r="AX22" s="476"/>
      <c r="AY22" s="197"/>
      <c r="AZ22" s="565">
        <v>14</v>
      </c>
      <c r="BA22" s="364" t="s">
        <v>518</v>
      </c>
      <c r="BB22" s="81" t="s">
        <v>78</v>
      </c>
      <c r="BC22" s="79"/>
      <c r="BD22" s="577"/>
      <c r="BE22" s="79" t="str">
        <f t="shared" si="14"/>
        <v>N/A</v>
      </c>
      <c r="BF22" s="577"/>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76">
        <v>267</v>
      </c>
      <c r="C23" s="701">
        <v>15</v>
      </c>
      <c r="D23" s="362" t="s">
        <v>318</v>
      </c>
      <c r="E23" s="237" t="s">
        <v>299</v>
      </c>
      <c r="F23" s="546"/>
      <c r="G23" s="559"/>
      <c r="H23" s="546"/>
      <c r="I23" s="559"/>
      <c r="J23" s="546"/>
      <c r="K23" s="559"/>
      <c r="L23" s="546"/>
      <c r="M23" s="559"/>
      <c r="N23" s="546"/>
      <c r="O23" s="559"/>
      <c r="P23" s="546"/>
      <c r="Q23" s="559"/>
      <c r="R23" s="546"/>
      <c r="S23" s="559"/>
      <c r="T23" s="546"/>
      <c r="U23" s="559"/>
      <c r="V23" s="546"/>
      <c r="W23" s="559"/>
      <c r="X23" s="546"/>
      <c r="Y23" s="559"/>
      <c r="Z23" s="546"/>
      <c r="AA23" s="559"/>
      <c r="AB23" s="546"/>
      <c r="AC23" s="559"/>
      <c r="AD23" s="546"/>
      <c r="AE23" s="559"/>
      <c r="AF23" s="546"/>
      <c r="AG23" s="559"/>
      <c r="AH23" s="546"/>
      <c r="AI23" s="559"/>
      <c r="AJ23" s="546"/>
      <c r="AK23" s="559"/>
      <c r="AL23" s="546"/>
      <c r="AM23" s="559"/>
      <c r="AN23" s="546"/>
      <c r="AO23" s="559"/>
      <c r="AP23" s="546"/>
      <c r="AQ23" s="559"/>
      <c r="AR23" s="546"/>
      <c r="AS23" s="559"/>
      <c r="AT23" s="546"/>
      <c r="AU23" s="559"/>
      <c r="AV23" s="546"/>
      <c r="AW23" s="559"/>
      <c r="AX23" s="476"/>
      <c r="AY23" s="197"/>
      <c r="AZ23" s="565">
        <v>15</v>
      </c>
      <c r="BA23" s="363" t="s">
        <v>318</v>
      </c>
      <c r="BB23" s="81" t="s">
        <v>78</v>
      </c>
      <c r="BC23" s="103" t="s">
        <v>82</v>
      </c>
      <c r="BD23" s="577"/>
      <c r="BE23" s="79" t="str">
        <f t="shared" si="14"/>
        <v>N/A</v>
      </c>
      <c r="BF23" s="577"/>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76">
        <v>69</v>
      </c>
      <c r="C24" s="701">
        <v>16</v>
      </c>
      <c r="D24" s="348" t="s">
        <v>286</v>
      </c>
      <c r="E24" s="237" t="s">
        <v>299</v>
      </c>
      <c r="F24" s="546"/>
      <c r="G24" s="559"/>
      <c r="H24" s="546"/>
      <c r="I24" s="559"/>
      <c r="J24" s="546"/>
      <c r="K24" s="559"/>
      <c r="L24" s="546"/>
      <c r="M24" s="559"/>
      <c r="N24" s="546"/>
      <c r="O24" s="559"/>
      <c r="P24" s="546"/>
      <c r="Q24" s="559"/>
      <c r="R24" s="546"/>
      <c r="S24" s="559"/>
      <c r="T24" s="546"/>
      <c r="U24" s="559"/>
      <c r="V24" s="546"/>
      <c r="W24" s="559"/>
      <c r="X24" s="546"/>
      <c r="Y24" s="559"/>
      <c r="Z24" s="546"/>
      <c r="AA24" s="559"/>
      <c r="AB24" s="546"/>
      <c r="AC24" s="559"/>
      <c r="AD24" s="546"/>
      <c r="AE24" s="559"/>
      <c r="AF24" s="546"/>
      <c r="AG24" s="559"/>
      <c r="AH24" s="546"/>
      <c r="AI24" s="559"/>
      <c r="AJ24" s="546"/>
      <c r="AK24" s="559"/>
      <c r="AL24" s="546"/>
      <c r="AM24" s="559"/>
      <c r="AN24" s="546"/>
      <c r="AO24" s="559"/>
      <c r="AP24" s="546"/>
      <c r="AQ24" s="559"/>
      <c r="AR24" s="546"/>
      <c r="AS24" s="559"/>
      <c r="AT24" s="546"/>
      <c r="AU24" s="559"/>
      <c r="AV24" s="546"/>
      <c r="AW24" s="559"/>
      <c r="AX24" s="476"/>
      <c r="AY24" s="197"/>
      <c r="AZ24" s="565">
        <v>16</v>
      </c>
      <c r="BA24" s="275" t="s">
        <v>286</v>
      </c>
      <c r="BB24" s="81" t="s">
        <v>78</v>
      </c>
      <c r="BC24" s="79" t="s">
        <v>82</v>
      </c>
      <c r="BD24" s="577"/>
      <c r="BE24" s="79" t="str">
        <f t="shared" si="14"/>
        <v>N/A</v>
      </c>
      <c r="BF24" s="577"/>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76">
        <v>78</v>
      </c>
      <c r="C25" s="701">
        <v>17</v>
      </c>
      <c r="D25" s="348" t="s">
        <v>503</v>
      </c>
      <c r="E25" s="237" t="s">
        <v>299</v>
      </c>
      <c r="F25" s="546"/>
      <c r="G25" s="559"/>
      <c r="H25" s="546"/>
      <c r="I25" s="559"/>
      <c r="J25" s="546"/>
      <c r="K25" s="559"/>
      <c r="L25" s="546"/>
      <c r="M25" s="559"/>
      <c r="N25" s="546"/>
      <c r="O25" s="559"/>
      <c r="P25" s="546"/>
      <c r="Q25" s="559"/>
      <c r="R25" s="546"/>
      <c r="S25" s="559"/>
      <c r="T25" s="546"/>
      <c r="U25" s="559"/>
      <c r="V25" s="546"/>
      <c r="W25" s="559"/>
      <c r="X25" s="546"/>
      <c r="Y25" s="559"/>
      <c r="Z25" s="546"/>
      <c r="AA25" s="559"/>
      <c r="AB25" s="546"/>
      <c r="AC25" s="559"/>
      <c r="AD25" s="546"/>
      <c r="AE25" s="559"/>
      <c r="AF25" s="546"/>
      <c r="AG25" s="559"/>
      <c r="AH25" s="546"/>
      <c r="AI25" s="559"/>
      <c r="AJ25" s="546"/>
      <c r="AK25" s="559"/>
      <c r="AL25" s="546"/>
      <c r="AM25" s="559"/>
      <c r="AN25" s="546"/>
      <c r="AO25" s="559"/>
      <c r="AP25" s="546"/>
      <c r="AQ25" s="559"/>
      <c r="AR25" s="546"/>
      <c r="AS25" s="559"/>
      <c r="AT25" s="546"/>
      <c r="AU25" s="559"/>
      <c r="AV25" s="546"/>
      <c r="AW25" s="559"/>
      <c r="AX25" s="476"/>
      <c r="AY25" s="197"/>
      <c r="AZ25" s="565">
        <v>17</v>
      </c>
      <c r="BA25" s="275" t="s">
        <v>503</v>
      </c>
      <c r="BB25" s="81" t="s">
        <v>78</v>
      </c>
      <c r="BC25" s="79" t="s">
        <v>82</v>
      </c>
      <c r="BD25" s="577"/>
      <c r="BE25" s="79" t="str">
        <f t="shared" si="14"/>
        <v>N/A</v>
      </c>
      <c r="BF25" s="577"/>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6">
        <v>2434</v>
      </c>
      <c r="C26" s="701">
        <v>18</v>
      </c>
      <c r="D26" s="348" t="s">
        <v>497</v>
      </c>
      <c r="E26" s="237" t="s">
        <v>299</v>
      </c>
      <c r="F26" s="546"/>
      <c r="G26" s="559"/>
      <c r="H26" s="546"/>
      <c r="I26" s="559"/>
      <c r="J26" s="546"/>
      <c r="K26" s="559"/>
      <c r="L26" s="546"/>
      <c r="M26" s="559"/>
      <c r="N26" s="546"/>
      <c r="O26" s="559"/>
      <c r="P26" s="546"/>
      <c r="Q26" s="559"/>
      <c r="R26" s="546"/>
      <c r="S26" s="559"/>
      <c r="T26" s="546"/>
      <c r="U26" s="559"/>
      <c r="V26" s="546"/>
      <c r="W26" s="559"/>
      <c r="X26" s="546"/>
      <c r="Y26" s="559"/>
      <c r="Z26" s="546"/>
      <c r="AA26" s="559"/>
      <c r="AB26" s="546"/>
      <c r="AC26" s="559"/>
      <c r="AD26" s="546"/>
      <c r="AE26" s="559"/>
      <c r="AF26" s="546"/>
      <c r="AG26" s="559"/>
      <c r="AH26" s="546"/>
      <c r="AI26" s="559"/>
      <c r="AJ26" s="546"/>
      <c r="AK26" s="559"/>
      <c r="AL26" s="546"/>
      <c r="AM26" s="559"/>
      <c r="AN26" s="546"/>
      <c r="AO26" s="559"/>
      <c r="AP26" s="546"/>
      <c r="AQ26" s="559"/>
      <c r="AR26" s="546"/>
      <c r="AS26" s="559"/>
      <c r="AT26" s="546"/>
      <c r="AU26" s="559"/>
      <c r="AV26" s="546"/>
      <c r="AW26" s="559"/>
      <c r="AX26" s="476"/>
      <c r="AY26" s="197"/>
      <c r="AZ26" s="565">
        <v>18</v>
      </c>
      <c r="BA26" s="275" t="s">
        <v>497</v>
      </c>
      <c r="BB26" s="81" t="s">
        <v>78</v>
      </c>
      <c r="BC26" s="79" t="s">
        <v>82</v>
      </c>
      <c r="BD26" s="577"/>
      <c r="BE26" s="79" t="str">
        <f t="shared" si="14"/>
        <v>N/A</v>
      </c>
      <c r="BF26" s="577"/>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0" customFormat="1" ht="15" customHeight="1">
      <c r="A27" s="194"/>
      <c r="B27" s="676">
        <v>2435</v>
      </c>
      <c r="C27" s="701">
        <v>19</v>
      </c>
      <c r="D27" s="348" t="s">
        <v>87</v>
      </c>
      <c r="E27" s="237" t="s">
        <v>299</v>
      </c>
      <c r="F27" s="546"/>
      <c r="G27" s="559"/>
      <c r="H27" s="546"/>
      <c r="I27" s="559"/>
      <c r="J27" s="546"/>
      <c r="K27" s="559"/>
      <c r="L27" s="546"/>
      <c r="M27" s="559"/>
      <c r="N27" s="546"/>
      <c r="O27" s="559"/>
      <c r="P27" s="546"/>
      <c r="Q27" s="559"/>
      <c r="R27" s="546"/>
      <c r="S27" s="559"/>
      <c r="T27" s="546"/>
      <c r="U27" s="559"/>
      <c r="V27" s="546"/>
      <c r="W27" s="559"/>
      <c r="X27" s="546"/>
      <c r="Y27" s="559"/>
      <c r="Z27" s="546"/>
      <c r="AA27" s="559"/>
      <c r="AB27" s="546"/>
      <c r="AC27" s="559"/>
      <c r="AD27" s="546"/>
      <c r="AE27" s="559"/>
      <c r="AF27" s="546"/>
      <c r="AG27" s="559"/>
      <c r="AH27" s="546"/>
      <c r="AI27" s="559"/>
      <c r="AJ27" s="546"/>
      <c r="AK27" s="559"/>
      <c r="AL27" s="546"/>
      <c r="AM27" s="559"/>
      <c r="AN27" s="546"/>
      <c r="AO27" s="559"/>
      <c r="AP27" s="546"/>
      <c r="AQ27" s="559"/>
      <c r="AR27" s="546"/>
      <c r="AS27" s="559"/>
      <c r="AT27" s="546"/>
      <c r="AU27" s="559"/>
      <c r="AV27" s="546"/>
      <c r="AW27" s="559"/>
      <c r="AX27" s="476"/>
      <c r="AY27" s="197"/>
      <c r="AZ27" s="565">
        <v>19</v>
      </c>
      <c r="BA27" s="275" t="s">
        <v>87</v>
      </c>
      <c r="BB27" s="81" t="s">
        <v>78</v>
      </c>
      <c r="BC27" s="79" t="s">
        <v>82</v>
      </c>
      <c r="BD27" s="577"/>
      <c r="BE27" s="79" t="str">
        <f t="shared" si="14"/>
        <v>N/A</v>
      </c>
      <c r="BF27" s="577"/>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66" customFormat="1" ht="27" customHeight="1">
      <c r="A28" s="365" t="s">
        <v>65</v>
      </c>
      <c r="B28" s="698">
        <v>79</v>
      </c>
      <c r="C28" s="699">
        <v>20</v>
      </c>
      <c r="D28" s="700" t="s">
        <v>609</v>
      </c>
      <c r="E28" s="237" t="s">
        <v>299</v>
      </c>
      <c r="F28" s="709"/>
      <c r="G28" s="559"/>
      <c r="H28" s="546"/>
      <c r="I28" s="559"/>
      <c r="J28" s="709"/>
      <c r="K28" s="559"/>
      <c r="L28" s="546"/>
      <c r="M28" s="559"/>
      <c r="N28" s="709"/>
      <c r="O28" s="559"/>
      <c r="P28" s="709"/>
      <c r="Q28" s="559"/>
      <c r="R28" s="546"/>
      <c r="S28" s="559"/>
      <c r="T28" s="546"/>
      <c r="U28" s="559"/>
      <c r="V28" s="709"/>
      <c r="W28" s="559"/>
      <c r="X28" s="709"/>
      <c r="Y28" s="559"/>
      <c r="Z28" s="546"/>
      <c r="AA28" s="559"/>
      <c r="AB28" s="546"/>
      <c r="AC28" s="559"/>
      <c r="AD28" s="709"/>
      <c r="AE28" s="559"/>
      <c r="AF28" s="709"/>
      <c r="AG28" s="559"/>
      <c r="AH28" s="546"/>
      <c r="AI28" s="559"/>
      <c r="AJ28" s="546"/>
      <c r="AK28" s="559"/>
      <c r="AL28" s="709"/>
      <c r="AM28" s="559"/>
      <c r="AN28" s="709"/>
      <c r="AO28" s="559"/>
      <c r="AP28" s="546"/>
      <c r="AQ28" s="559"/>
      <c r="AR28" s="709"/>
      <c r="AS28" s="559"/>
      <c r="AT28" s="709"/>
      <c r="AU28" s="559"/>
      <c r="AV28" s="546"/>
      <c r="AW28" s="559"/>
      <c r="AX28" s="638"/>
      <c r="AY28" s="367"/>
      <c r="AZ28" s="605">
        <v>20</v>
      </c>
      <c r="BA28" s="359" t="s">
        <v>609</v>
      </c>
      <c r="BB28" s="81" t="s">
        <v>78</v>
      </c>
      <c r="BC28" s="79" t="s">
        <v>82</v>
      </c>
      <c r="BD28" s="582"/>
      <c r="BE28" s="79" t="str">
        <f t="shared" si="14"/>
        <v>N/A</v>
      </c>
      <c r="BF28" s="582"/>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6" customFormat="1" ht="15" customHeight="1">
      <c r="A29" s="368"/>
      <c r="B29" s="353">
        <v>34</v>
      </c>
      <c r="C29" s="701">
        <v>21</v>
      </c>
      <c r="D29" s="702" t="s">
        <v>13</v>
      </c>
      <c r="E29" s="237" t="s">
        <v>299</v>
      </c>
      <c r="F29" s="546"/>
      <c r="G29" s="559"/>
      <c r="H29" s="546"/>
      <c r="I29" s="559"/>
      <c r="J29" s="546"/>
      <c r="K29" s="559"/>
      <c r="L29" s="546"/>
      <c r="M29" s="559"/>
      <c r="N29" s="546"/>
      <c r="O29" s="559"/>
      <c r="P29" s="546"/>
      <c r="Q29" s="559"/>
      <c r="R29" s="546"/>
      <c r="S29" s="559"/>
      <c r="T29" s="546"/>
      <c r="U29" s="559"/>
      <c r="V29" s="546"/>
      <c r="W29" s="559"/>
      <c r="X29" s="546"/>
      <c r="Y29" s="559"/>
      <c r="Z29" s="546"/>
      <c r="AA29" s="559"/>
      <c r="AB29" s="546"/>
      <c r="AC29" s="559"/>
      <c r="AD29" s="546"/>
      <c r="AE29" s="559"/>
      <c r="AF29" s="546"/>
      <c r="AG29" s="559"/>
      <c r="AH29" s="546"/>
      <c r="AI29" s="559"/>
      <c r="AJ29" s="546"/>
      <c r="AK29" s="559"/>
      <c r="AL29" s="546"/>
      <c r="AM29" s="559"/>
      <c r="AN29" s="546"/>
      <c r="AO29" s="559"/>
      <c r="AP29" s="546"/>
      <c r="AQ29" s="559"/>
      <c r="AR29" s="546"/>
      <c r="AS29" s="559"/>
      <c r="AT29" s="546"/>
      <c r="AU29" s="559"/>
      <c r="AV29" s="546"/>
      <c r="AW29" s="559"/>
      <c r="AX29" s="638"/>
      <c r="AY29" s="367"/>
      <c r="AZ29" s="605">
        <v>21</v>
      </c>
      <c r="BA29" s="359" t="s">
        <v>13</v>
      </c>
      <c r="BB29" s="81" t="s">
        <v>78</v>
      </c>
      <c r="BC29" s="79" t="s">
        <v>82</v>
      </c>
      <c r="BD29" s="582"/>
      <c r="BE29" s="79" t="str">
        <f t="shared" si="14"/>
        <v>N/A</v>
      </c>
      <c r="BF29" s="582"/>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6" customFormat="1" ht="15" customHeight="1">
      <c r="A30" s="368" t="s">
        <v>65</v>
      </c>
      <c r="B30" s="353">
        <v>35</v>
      </c>
      <c r="C30" s="699">
        <v>22</v>
      </c>
      <c r="D30" s="355" t="s">
        <v>607</v>
      </c>
      <c r="E30" s="237" t="s">
        <v>299</v>
      </c>
      <c r="F30" s="546"/>
      <c r="G30" s="559"/>
      <c r="H30" s="546"/>
      <c r="I30" s="559"/>
      <c r="J30" s="546"/>
      <c r="K30" s="559"/>
      <c r="L30" s="546"/>
      <c r="M30" s="559"/>
      <c r="N30" s="546"/>
      <c r="O30" s="559"/>
      <c r="P30" s="546"/>
      <c r="Q30" s="559"/>
      <c r="R30" s="546"/>
      <c r="S30" s="559"/>
      <c r="T30" s="546"/>
      <c r="U30" s="559"/>
      <c r="V30" s="546"/>
      <c r="W30" s="559"/>
      <c r="X30" s="546"/>
      <c r="Y30" s="559"/>
      <c r="Z30" s="546"/>
      <c r="AA30" s="559"/>
      <c r="AB30" s="546"/>
      <c r="AC30" s="559"/>
      <c r="AD30" s="546"/>
      <c r="AE30" s="559"/>
      <c r="AF30" s="546"/>
      <c r="AG30" s="559"/>
      <c r="AH30" s="546"/>
      <c r="AI30" s="559"/>
      <c r="AJ30" s="546"/>
      <c r="AK30" s="559"/>
      <c r="AL30" s="546"/>
      <c r="AM30" s="559"/>
      <c r="AN30" s="546"/>
      <c r="AO30" s="559"/>
      <c r="AP30" s="546"/>
      <c r="AQ30" s="559"/>
      <c r="AR30" s="546"/>
      <c r="AS30" s="559"/>
      <c r="AT30" s="546"/>
      <c r="AU30" s="559"/>
      <c r="AV30" s="546"/>
      <c r="AW30" s="559"/>
      <c r="AX30" s="638"/>
      <c r="AY30" s="367"/>
      <c r="AZ30" s="605">
        <v>22</v>
      </c>
      <c r="BA30" s="359" t="s">
        <v>607</v>
      </c>
      <c r="BB30" s="81" t="s">
        <v>78</v>
      </c>
      <c r="BC30" s="103" t="s">
        <v>82</v>
      </c>
      <c r="BD30" s="582"/>
      <c r="BE30" s="79" t="str">
        <f t="shared" si="14"/>
        <v>N/A</v>
      </c>
      <c r="BF30" s="582"/>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60" customFormat="1" ht="15" customHeight="1">
      <c r="A31" s="194"/>
      <c r="B31" s="347">
        <v>5010</v>
      </c>
      <c r="C31" s="565"/>
      <c r="D31" s="564" t="s">
        <v>439</v>
      </c>
      <c r="E31" s="565"/>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X31" s="476"/>
      <c r="AY31" s="197"/>
      <c r="AZ31" s="565"/>
      <c r="BA31" s="361" t="s">
        <v>439</v>
      </c>
      <c r="BB31" s="81"/>
      <c r="BC31" s="79"/>
      <c r="BD31" s="577"/>
      <c r="BE31" s="79"/>
      <c r="BF31" s="577"/>
      <c r="BG31" s="79" t="str">
        <f t="shared" si="13"/>
        <v>N/A</v>
      </c>
      <c r="BH31" s="79"/>
      <c r="BI31" s="79" t="str">
        <f t="shared" si="21"/>
        <v>N/A</v>
      </c>
      <c r="BJ31" s="79"/>
      <c r="BK31" s="79" t="str">
        <f t="shared" si="22"/>
        <v>N/A</v>
      </c>
      <c r="BL31" s="79"/>
      <c r="BM31" s="79" t="str">
        <f t="shared" si="23"/>
        <v>N/A</v>
      </c>
      <c r="BN31" s="79"/>
      <c r="BO31" s="79" t="str">
        <f t="shared" si="24"/>
        <v>N/A</v>
      </c>
      <c r="BP31" s="79"/>
      <c r="BQ31" s="79" t="str">
        <f t="shared" si="25"/>
        <v>N/A</v>
      </c>
      <c r="BR31" s="79"/>
      <c r="BS31" s="79" t="str">
        <f t="shared" si="26"/>
        <v>N/A</v>
      </c>
      <c r="BT31" s="79"/>
      <c r="BU31" s="79" t="str">
        <f t="shared" si="27"/>
        <v>N/A</v>
      </c>
      <c r="BV31" s="79"/>
      <c r="BW31" s="79" t="str">
        <f t="shared" si="28"/>
        <v>N/A</v>
      </c>
      <c r="BX31" s="79"/>
      <c r="BY31" s="79" t="str">
        <f t="shared" si="29"/>
        <v>N/A</v>
      </c>
      <c r="BZ31" s="79"/>
      <c r="CA31" s="79" t="str">
        <f t="shared" si="30"/>
        <v>N/A</v>
      </c>
      <c r="CB31" s="79"/>
      <c r="CC31" s="79" t="str">
        <f t="shared" si="31"/>
        <v>N/A</v>
      </c>
      <c r="CD31" s="79"/>
      <c r="CE31" s="79" t="str">
        <f t="shared" si="32"/>
        <v>N/A</v>
      </c>
      <c r="CF31" s="79"/>
      <c r="CG31" s="79" t="str">
        <f t="shared" si="33"/>
        <v>N/A</v>
      </c>
      <c r="CH31" s="79"/>
      <c r="CI31" s="79" t="str">
        <f t="shared" si="15"/>
        <v>N/A</v>
      </c>
      <c r="CJ31" s="79"/>
      <c r="CK31" s="79" t="str">
        <f t="shared" si="16"/>
        <v>N/A</v>
      </c>
      <c r="CL31" s="79"/>
      <c r="CM31" s="79" t="str">
        <f t="shared" si="17"/>
        <v>N/A</v>
      </c>
      <c r="CN31" s="79"/>
      <c r="CO31" s="79" t="str">
        <f t="shared" si="18"/>
        <v>N/A</v>
      </c>
      <c r="CP31" s="79"/>
      <c r="CQ31" s="79" t="str">
        <f t="shared" si="19"/>
        <v>N/A</v>
      </c>
      <c r="CR31" s="79"/>
      <c r="CS31" s="79" t="str">
        <f t="shared" si="20"/>
        <v>N/A</v>
      </c>
      <c r="CT31" s="79"/>
    </row>
    <row r="32" spans="1:98" s="360" customFormat="1" ht="15" customHeight="1">
      <c r="A32" s="194"/>
      <c r="B32" s="347">
        <v>279</v>
      </c>
      <c r="C32" s="701">
        <v>23</v>
      </c>
      <c r="D32" s="348" t="s">
        <v>384</v>
      </c>
      <c r="E32" s="237" t="s">
        <v>299</v>
      </c>
      <c r="F32" s="546"/>
      <c r="G32" s="559"/>
      <c r="H32" s="546"/>
      <c r="I32" s="559"/>
      <c r="J32" s="546"/>
      <c r="K32" s="559"/>
      <c r="L32" s="546"/>
      <c r="M32" s="559"/>
      <c r="N32" s="546"/>
      <c r="O32" s="559"/>
      <c r="P32" s="546"/>
      <c r="Q32" s="559"/>
      <c r="R32" s="546"/>
      <c r="S32" s="559"/>
      <c r="T32" s="546"/>
      <c r="U32" s="559"/>
      <c r="V32" s="546"/>
      <c r="W32" s="559"/>
      <c r="X32" s="546"/>
      <c r="Y32" s="559"/>
      <c r="Z32" s="546"/>
      <c r="AA32" s="559"/>
      <c r="AB32" s="546"/>
      <c r="AC32" s="559"/>
      <c r="AD32" s="546"/>
      <c r="AE32" s="559"/>
      <c r="AF32" s="546"/>
      <c r="AG32" s="559"/>
      <c r="AH32" s="546"/>
      <c r="AI32" s="559"/>
      <c r="AJ32" s="546"/>
      <c r="AK32" s="559"/>
      <c r="AL32" s="546"/>
      <c r="AM32" s="559"/>
      <c r="AN32" s="546"/>
      <c r="AO32" s="559"/>
      <c r="AP32" s="546"/>
      <c r="AQ32" s="559"/>
      <c r="AR32" s="546"/>
      <c r="AS32" s="559"/>
      <c r="AT32" s="546"/>
      <c r="AU32" s="559"/>
      <c r="AV32" s="546"/>
      <c r="AW32" s="559"/>
      <c r="AX32" s="476"/>
      <c r="AY32" s="197"/>
      <c r="AZ32" s="609">
        <v>23</v>
      </c>
      <c r="BA32" s="275" t="s">
        <v>384</v>
      </c>
      <c r="BB32" s="81" t="s">
        <v>78</v>
      </c>
      <c r="BC32" s="79" t="s">
        <v>82</v>
      </c>
      <c r="BD32" s="577"/>
      <c r="BE32" s="79" t="str">
        <f aca="true" t="shared" si="34" ref="BE32:BE40">IF(OR(ISBLANK(F32),ISBLANK(H32)),"N/A",IF(ABS((H32-F32)/F32)&gt;1,"&gt; 100%","ok"))</f>
        <v>N/A</v>
      </c>
      <c r="BF32" s="577"/>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280</v>
      </c>
      <c r="C33" s="703">
        <v>24</v>
      </c>
      <c r="D33" s="677" t="s">
        <v>117</v>
      </c>
      <c r="E33" s="237" t="s">
        <v>299</v>
      </c>
      <c r="F33" s="573"/>
      <c r="G33" s="556"/>
      <c r="H33" s="573"/>
      <c r="I33" s="556"/>
      <c r="J33" s="573"/>
      <c r="K33" s="556"/>
      <c r="L33" s="573"/>
      <c r="M33" s="556"/>
      <c r="N33" s="573"/>
      <c r="O33" s="556"/>
      <c r="P33" s="573"/>
      <c r="Q33" s="556"/>
      <c r="R33" s="573"/>
      <c r="S33" s="556"/>
      <c r="T33" s="573"/>
      <c r="U33" s="556"/>
      <c r="V33" s="573"/>
      <c r="W33" s="556"/>
      <c r="X33" s="573"/>
      <c r="Y33" s="556"/>
      <c r="Z33" s="573"/>
      <c r="AA33" s="556"/>
      <c r="AB33" s="573"/>
      <c r="AC33" s="556"/>
      <c r="AD33" s="573"/>
      <c r="AE33" s="556"/>
      <c r="AF33" s="573"/>
      <c r="AG33" s="556"/>
      <c r="AH33" s="573"/>
      <c r="AI33" s="556"/>
      <c r="AJ33" s="573"/>
      <c r="AK33" s="556"/>
      <c r="AL33" s="573"/>
      <c r="AM33" s="556"/>
      <c r="AN33" s="573"/>
      <c r="AO33" s="556"/>
      <c r="AP33" s="573"/>
      <c r="AQ33" s="556"/>
      <c r="AR33" s="573"/>
      <c r="AS33" s="556"/>
      <c r="AT33" s="573"/>
      <c r="AU33" s="556"/>
      <c r="AV33" s="573"/>
      <c r="AW33" s="556"/>
      <c r="AX33" s="476"/>
      <c r="AY33" s="197"/>
      <c r="AZ33" s="609">
        <v>24</v>
      </c>
      <c r="BA33" s="275" t="s">
        <v>196</v>
      </c>
      <c r="BB33" s="81" t="s">
        <v>78</v>
      </c>
      <c r="BC33" s="79" t="s">
        <v>82</v>
      </c>
      <c r="BD33" s="578"/>
      <c r="BE33" s="79" t="str">
        <f t="shared" si="34"/>
        <v>N/A</v>
      </c>
      <c r="BF33" s="577"/>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281</v>
      </c>
      <c r="C34" s="701">
        <v>25</v>
      </c>
      <c r="D34" s="630" t="s">
        <v>599</v>
      </c>
      <c r="E34" s="237" t="s">
        <v>299</v>
      </c>
      <c r="F34" s="573"/>
      <c r="G34" s="556"/>
      <c r="H34" s="573"/>
      <c r="I34" s="556"/>
      <c r="J34" s="573"/>
      <c r="K34" s="556"/>
      <c r="L34" s="573"/>
      <c r="M34" s="556"/>
      <c r="N34" s="573"/>
      <c r="O34" s="556"/>
      <c r="P34" s="573"/>
      <c r="Q34" s="556"/>
      <c r="R34" s="573"/>
      <c r="S34" s="556"/>
      <c r="T34" s="573"/>
      <c r="U34" s="556"/>
      <c r="V34" s="573"/>
      <c r="W34" s="556"/>
      <c r="X34" s="573"/>
      <c r="Y34" s="556"/>
      <c r="Z34" s="573"/>
      <c r="AA34" s="556"/>
      <c r="AB34" s="573"/>
      <c r="AC34" s="556"/>
      <c r="AD34" s="573"/>
      <c r="AE34" s="556"/>
      <c r="AF34" s="573"/>
      <c r="AG34" s="556"/>
      <c r="AH34" s="573"/>
      <c r="AI34" s="556"/>
      <c r="AJ34" s="573"/>
      <c r="AK34" s="556"/>
      <c r="AL34" s="573"/>
      <c r="AM34" s="556"/>
      <c r="AN34" s="573"/>
      <c r="AO34" s="556"/>
      <c r="AP34" s="573"/>
      <c r="AQ34" s="556"/>
      <c r="AR34" s="573"/>
      <c r="AS34" s="556"/>
      <c r="AT34" s="573"/>
      <c r="AU34" s="556"/>
      <c r="AV34" s="573"/>
      <c r="AW34" s="556"/>
      <c r="AX34" s="476"/>
      <c r="AY34" s="197"/>
      <c r="AZ34" s="609">
        <v>25</v>
      </c>
      <c r="BA34" s="275" t="s">
        <v>568</v>
      </c>
      <c r="BB34" s="81" t="s">
        <v>78</v>
      </c>
      <c r="BC34" s="79"/>
      <c r="BD34" s="578"/>
      <c r="BE34" s="79" t="str">
        <f t="shared" si="34"/>
        <v>N/A</v>
      </c>
      <c r="BF34" s="577"/>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60" customFormat="1" ht="15" customHeight="1">
      <c r="A35" s="194"/>
      <c r="B35" s="347">
        <v>201</v>
      </c>
      <c r="C35" s="703">
        <v>26</v>
      </c>
      <c r="D35" s="362" t="s">
        <v>520</v>
      </c>
      <c r="E35" s="237" t="s">
        <v>299</v>
      </c>
      <c r="F35" s="573"/>
      <c r="G35" s="556"/>
      <c r="H35" s="573"/>
      <c r="I35" s="556"/>
      <c r="J35" s="573"/>
      <c r="K35" s="556"/>
      <c r="L35" s="573"/>
      <c r="M35" s="556"/>
      <c r="N35" s="573"/>
      <c r="O35" s="556"/>
      <c r="P35" s="573"/>
      <c r="Q35" s="556"/>
      <c r="R35" s="573"/>
      <c r="S35" s="556"/>
      <c r="T35" s="573"/>
      <c r="U35" s="556"/>
      <c r="V35" s="573"/>
      <c r="W35" s="556"/>
      <c r="X35" s="573"/>
      <c r="Y35" s="556"/>
      <c r="Z35" s="573"/>
      <c r="AA35" s="556"/>
      <c r="AB35" s="573"/>
      <c r="AC35" s="556"/>
      <c r="AD35" s="573"/>
      <c r="AE35" s="556"/>
      <c r="AF35" s="573"/>
      <c r="AG35" s="556"/>
      <c r="AH35" s="573"/>
      <c r="AI35" s="556"/>
      <c r="AJ35" s="573"/>
      <c r="AK35" s="556"/>
      <c r="AL35" s="573"/>
      <c r="AM35" s="556"/>
      <c r="AN35" s="573"/>
      <c r="AO35" s="556"/>
      <c r="AP35" s="573"/>
      <c r="AQ35" s="556"/>
      <c r="AR35" s="573"/>
      <c r="AS35" s="556"/>
      <c r="AT35" s="573"/>
      <c r="AU35" s="556"/>
      <c r="AV35" s="573"/>
      <c r="AW35" s="556"/>
      <c r="AX35" s="476"/>
      <c r="AY35" s="197"/>
      <c r="AZ35" s="609">
        <v>26</v>
      </c>
      <c r="BA35" s="275" t="s">
        <v>519</v>
      </c>
      <c r="BB35" s="81" t="s">
        <v>78</v>
      </c>
      <c r="BC35" s="79"/>
      <c r="BD35" s="578"/>
      <c r="BE35" s="79" t="str">
        <f t="shared" si="34"/>
        <v>N/A</v>
      </c>
      <c r="BF35" s="577"/>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15" customHeight="1">
      <c r="A36" s="194"/>
      <c r="B36" s="347">
        <v>282</v>
      </c>
      <c r="C36" s="701">
        <v>27</v>
      </c>
      <c r="D36" s="677" t="s">
        <v>489</v>
      </c>
      <c r="E36" s="237" t="s">
        <v>299</v>
      </c>
      <c r="F36" s="573"/>
      <c r="G36" s="556"/>
      <c r="H36" s="573"/>
      <c r="I36" s="556"/>
      <c r="J36" s="573"/>
      <c r="K36" s="556"/>
      <c r="L36" s="573"/>
      <c r="M36" s="556"/>
      <c r="N36" s="573"/>
      <c r="O36" s="556"/>
      <c r="P36" s="573"/>
      <c r="Q36" s="556"/>
      <c r="R36" s="573"/>
      <c r="S36" s="556"/>
      <c r="T36" s="573"/>
      <c r="U36" s="556"/>
      <c r="V36" s="573"/>
      <c r="W36" s="556"/>
      <c r="X36" s="573"/>
      <c r="Y36" s="556"/>
      <c r="Z36" s="573"/>
      <c r="AA36" s="556"/>
      <c r="AB36" s="573"/>
      <c r="AC36" s="556"/>
      <c r="AD36" s="573"/>
      <c r="AE36" s="556"/>
      <c r="AF36" s="573"/>
      <c r="AG36" s="556"/>
      <c r="AH36" s="573"/>
      <c r="AI36" s="556"/>
      <c r="AJ36" s="573"/>
      <c r="AK36" s="556"/>
      <c r="AL36" s="573"/>
      <c r="AM36" s="556"/>
      <c r="AN36" s="573"/>
      <c r="AO36" s="556"/>
      <c r="AP36" s="573"/>
      <c r="AQ36" s="556"/>
      <c r="AR36" s="573"/>
      <c r="AS36" s="556"/>
      <c r="AT36" s="573"/>
      <c r="AU36" s="556"/>
      <c r="AV36" s="573"/>
      <c r="AW36" s="556"/>
      <c r="AX36" s="476"/>
      <c r="AY36" s="197"/>
      <c r="AZ36" s="609">
        <v>27</v>
      </c>
      <c r="BA36" s="275" t="s">
        <v>385</v>
      </c>
      <c r="BB36" s="81" t="s">
        <v>78</v>
      </c>
      <c r="BC36" s="79" t="s">
        <v>82</v>
      </c>
      <c r="BD36" s="578"/>
      <c r="BE36" s="79" t="str">
        <f t="shared" si="34"/>
        <v>N/A</v>
      </c>
      <c r="BF36" s="577"/>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202</v>
      </c>
      <c r="C37" s="703">
        <v>28</v>
      </c>
      <c r="D37" s="631" t="s">
        <v>517</v>
      </c>
      <c r="E37" s="237" t="s">
        <v>299</v>
      </c>
      <c r="F37" s="573"/>
      <c r="G37" s="556"/>
      <c r="H37" s="573"/>
      <c r="I37" s="556"/>
      <c r="J37" s="573"/>
      <c r="K37" s="556"/>
      <c r="L37" s="573"/>
      <c r="M37" s="556"/>
      <c r="N37" s="573"/>
      <c r="O37" s="556"/>
      <c r="P37" s="573"/>
      <c r="Q37" s="556"/>
      <c r="R37" s="573"/>
      <c r="S37" s="556"/>
      <c r="T37" s="573"/>
      <c r="U37" s="556"/>
      <c r="V37" s="573"/>
      <c r="W37" s="556"/>
      <c r="X37" s="573"/>
      <c r="Y37" s="556"/>
      <c r="Z37" s="573"/>
      <c r="AA37" s="556"/>
      <c r="AB37" s="573"/>
      <c r="AC37" s="556"/>
      <c r="AD37" s="573"/>
      <c r="AE37" s="556"/>
      <c r="AF37" s="573"/>
      <c r="AG37" s="556"/>
      <c r="AH37" s="573"/>
      <c r="AI37" s="556"/>
      <c r="AJ37" s="573"/>
      <c r="AK37" s="556"/>
      <c r="AL37" s="573"/>
      <c r="AM37" s="556"/>
      <c r="AN37" s="573"/>
      <c r="AO37" s="556"/>
      <c r="AP37" s="573"/>
      <c r="AQ37" s="556"/>
      <c r="AR37" s="573"/>
      <c r="AS37" s="556"/>
      <c r="AT37" s="573"/>
      <c r="AU37" s="556"/>
      <c r="AV37" s="573"/>
      <c r="AW37" s="556"/>
      <c r="AX37" s="476"/>
      <c r="AY37" s="197"/>
      <c r="AZ37" s="610">
        <v>28</v>
      </c>
      <c r="BA37" s="275" t="s">
        <v>521</v>
      </c>
      <c r="BB37" s="81" t="s">
        <v>78</v>
      </c>
      <c r="BC37" s="79"/>
      <c r="BD37" s="578"/>
      <c r="BE37" s="79" t="str">
        <f t="shared" si="34"/>
        <v>N/A</v>
      </c>
      <c r="BF37" s="577"/>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27.75" customHeight="1">
      <c r="A38" s="194"/>
      <c r="B38" s="347">
        <v>283</v>
      </c>
      <c r="C38" s="701">
        <v>29</v>
      </c>
      <c r="D38" s="630" t="s">
        <v>598</v>
      </c>
      <c r="E38" s="237" t="s">
        <v>299</v>
      </c>
      <c r="F38" s="588"/>
      <c r="G38" s="556"/>
      <c r="H38" s="588"/>
      <c r="I38" s="556"/>
      <c r="J38" s="588"/>
      <c r="K38" s="556"/>
      <c r="L38" s="588"/>
      <c r="M38" s="556"/>
      <c r="N38" s="588"/>
      <c r="O38" s="556"/>
      <c r="P38" s="588"/>
      <c r="Q38" s="556"/>
      <c r="R38" s="588"/>
      <c r="S38" s="556"/>
      <c r="T38" s="588"/>
      <c r="U38" s="556"/>
      <c r="V38" s="588"/>
      <c r="W38" s="556"/>
      <c r="X38" s="588"/>
      <c r="Y38" s="556"/>
      <c r="Z38" s="588"/>
      <c r="AA38" s="556"/>
      <c r="AB38" s="588"/>
      <c r="AC38" s="556"/>
      <c r="AD38" s="588"/>
      <c r="AE38" s="556"/>
      <c r="AF38" s="588"/>
      <c r="AG38" s="556"/>
      <c r="AH38" s="588"/>
      <c r="AI38" s="556"/>
      <c r="AJ38" s="588"/>
      <c r="AK38" s="556"/>
      <c r="AL38" s="588"/>
      <c r="AM38" s="556"/>
      <c r="AN38" s="588"/>
      <c r="AO38" s="556"/>
      <c r="AP38" s="588"/>
      <c r="AQ38" s="556"/>
      <c r="AR38" s="588"/>
      <c r="AS38" s="556"/>
      <c r="AT38" s="588"/>
      <c r="AU38" s="556"/>
      <c r="AV38" s="588"/>
      <c r="AW38" s="556"/>
      <c r="AX38" s="476"/>
      <c r="AY38" s="197"/>
      <c r="AZ38" s="611">
        <v>29</v>
      </c>
      <c r="BA38" s="607" t="s">
        <v>569</v>
      </c>
      <c r="BB38" s="81" t="s">
        <v>78</v>
      </c>
      <c r="BC38" s="79" t="s">
        <v>82</v>
      </c>
      <c r="BD38" s="578"/>
      <c r="BE38" s="79" t="str">
        <f t="shared" si="34"/>
        <v>N/A</v>
      </c>
      <c r="BF38" s="577"/>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60" customFormat="1" ht="21" customHeight="1">
      <c r="A39" s="194"/>
      <c r="B39" s="347">
        <v>203</v>
      </c>
      <c r="C39" s="703">
        <v>30</v>
      </c>
      <c r="D39" s="631" t="s">
        <v>518</v>
      </c>
      <c r="E39" s="237" t="s">
        <v>299</v>
      </c>
      <c r="F39" s="598"/>
      <c r="G39" s="557"/>
      <c r="H39" s="598"/>
      <c r="I39" s="557"/>
      <c r="J39" s="598"/>
      <c r="K39" s="557"/>
      <c r="L39" s="598"/>
      <c r="M39" s="557"/>
      <c r="N39" s="598"/>
      <c r="O39" s="557"/>
      <c r="P39" s="598"/>
      <c r="Q39" s="557"/>
      <c r="R39" s="598"/>
      <c r="S39" s="557"/>
      <c r="T39" s="598"/>
      <c r="U39" s="557"/>
      <c r="V39" s="598"/>
      <c r="W39" s="557"/>
      <c r="X39" s="598"/>
      <c r="Y39" s="557"/>
      <c r="Z39" s="598"/>
      <c r="AA39" s="557"/>
      <c r="AB39" s="598"/>
      <c r="AC39" s="557"/>
      <c r="AD39" s="598"/>
      <c r="AE39" s="557"/>
      <c r="AF39" s="598"/>
      <c r="AG39" s="557"/>
      <c r="AH39" s="598"/>
      <c r="AI39" s="557"/>
      <c r="AJ39" s="598"/>
      <c r="AK39" s="557"/>
      <c r="AL39" s="598"/>
      <c r="AM39" s="557"/>
      <c r="AN39" s="598"/>
      <c r="AO39" s="557"/>
      <c r="AP39" s="598"/>
      <c r="AQ39" s="557"/>
      <c r="AR39" s="598"/>
      <c r="AS39" s="557"/>
      <c r="AT39" s="598"/>
      <c r="AU39" s="557"/>
      <c r="AV39" s="598"/>
      <c r="AW39" s="557"/>
      <c r="AX39" s="476"/>
      <c r="AY39" s="197"/>
      <c r="AZ39" s="610">
        <v>30</v>
      </c>
      <c r="BA39" s="275" t="s">
        <v>518</v>
      </c>
      <c r="BB39" s="81" t="s">
        <v>78</v>
      </c>
      <c r="BC39" s="79"/>
      <c r="BD39" s="578"/>
      <c r="BE39" s="79" t="str">
        <f t="shared" si="34"/>
        <v>N/A</v>
      </c>
      <c r="BF39" s="577"/>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60" customFormat="1" ht="15" customHeight="1">
      <c r="A40" s="194"/>
      <c r="B40" s="347">
        <v>204</v>
      </c>
      <c r="C40" s="701">
        <v>31</v>
      </c>
      <c r="D40" s="678" t="s">
        <v>318</v>
      </c>
      <c r="E40" s="369" t="s">
        <v>299</v>
      </c>
      <c r="F40" s="589"/>
      <c r="G40" s="558"/>
      <c r="H40" s="589"/>
      <c r="I40" s="558"/>
      <c r="J40" s="589"/>
      <c r="K40" s="558"/>
      <c r="L40" s="589"/>
      <c r="M40" s="558"/>
      <c r="N40" s="589"/>
      <c r="O40" s="558"/>
      <c r="P40" s="589"/>
      <c r="Q40" s="558"/>
      <c r="R40" s="589"/>
      <c r="S40" s="558"/>
      <c r="T40" s="589"/>
      <c r="U40" s="558"/>
      <c r="V40" s="589"/>
      <c r="W40" s="558"/>
      <c r="X40" s="589"/>
      <c r="Y40" s="558"/>
      <c r="Z40" s="589"/>
      <c r="AA40" s="558"/>
      <c r="AB40" s="589"/>
      <c r="AC40" s="558"/>
      <c r="AD40" s="589"/>
      <c r="AE40" s="558"/>
      <c r="AF40" s="589"/>
      <c r="AG40" s="558"/>
      <c r="AH40" s="589"/>
      <c r="AI40" s="558"/>
      <c r="AJ40" s="589"/>
      <c r="AK40" s="558"/>
      <c r="AL40" s="589"/>
      <c r="AM40" s="558"/>
      <c r="AN40" s="589"/>
      <c r="AO40" s="558"/>
      <c r="AP40" s="589"/>
      <c r="AQ40" s="558"/>
      <c r="AR40" s="589"/>
      <c r="AS40" s="558"/>
      <c r="AT40" s="589"/>
      <c r="AU40" s="558"/>
      <c r="AV40" s="589"/>
      <c r="AW40" s="558"/>
      <c r="AX40" s="476"/>
      <c r="AY40" s="197"/>
      <c r="AZ40" s="611">
        <v>31</v>
      </c>
      <c r="BA40" s="230" t="s">
        <v>386</v>
      </c>
      <c r="BB40" s="81" t="s">
        <v>78</v>
      </c>
      <c r="BC40" s="79" t="s">
        <v>82</v>
      </c>
      <c r="BD40" s="578"/>
      <c r="BE40" s="79" t="str">
        <f t="shared" si="34"/>
        <v>N/A</v>
      </c>
      <c r="BF40" s="577"/>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36" t="s">
        <v>290</v>
      </c>
      <c r="D41" s="252"/>
      <c r="E41" s="370"/>
      <c r="F41" s="371"/>
      <c r="AZ41" s="346" t="s">
        <v>514</v>
      </c>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3:98" ht="12" customHeight="1">
      <c r="C42" s="260" t="s">
        <v>142</v>
      </c>
      <c r="D42" s="798" t="s">
        <v>195</v>
      </c>
      <c r="E42" s="798"/>
      <c r="F42" s="798"/>
      <c r="G42" s="798"/>
      <c r="H42" s="798"/>
      <c r="I42" s="798"/>
      <c r="J42" s="798"/>
      <c r="K42" s="798"/>
      <c r="L42" s="798"/>
      <c r="M42" s="798"/>
      <c r="N42" s="798"/>
      <c r="O42" s="798"/>
      <c r="P42" s="798"/>
      <c r="Q42" s="798"/>
      <c r="R42" s="798"/>
      <c r="S42" s="798"/>
      <c r="T42" s="798"/>
      <c r="U42" s="798"/>
      <c r="V42" s="798"/>
      <c r="W42" s="798"/>
      <c r="X42" s="798"/>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Z42" s="215" t="s">
        <v>287</v>
      </c>
      <c r="BA42" s="215" t="s">
        <v>288</v>
      </c>
      <c r="BB42" s="215" t="s">
        <v>291</v>
      </c>
      <c r="BC42" s="583">
        <v>1990</v>
      </c>
      <c r="BD42" s="584"/>
      <c r="BE42" s="583">
        <v>1995</v>
      </c>
      <c r="BF42" s="584"/>
      <c r="BG42" s="583">
        <v>2000</v>
      </c>
      <c r="BH42" s="584"/>
      <c r="BI42" s="583">
        <v>2001</v>
      </c>
      <c r="BJ42" s="584"/>
      <c r="BK42" s="583">
        <v>2002</v>
      </c>
      <c r="BL42" s="584"/>
      <c r="BM42" s="583">
        <v>2003</v>
      </c>
      <c r="BN42" s="584"/>
      <c r="BO42" s="583">
        <v>2004</v>
      </c>
      <c r="BP42" s="584"/>
      <c r="BQ42" s="583">
        <v>2005</v>
      </c>
      <c r="BR42" s="584"/>
      <c r="BS42" s="583">
        <v>2006</v>
      </c>
      <c r="BT42" s="584"/>
      <c r="BU42" s="583">
        <v>2007</v>
      </c>
      <c r="BV42" s="584"/>
      <c r="BW42" s="583">
        <v>2008</v>
      </c>
      <c r="BX42" s="584"/>
      <c r="BY42" s="583">
        <v>2009</v>
      </c>
      <c r="BZ42" s="584"/>
      <c r="CA42" s="583">
        <v>2010</v>
      </c>
      <c r="CB42" s="584"/>
      <c r="CC42" s="583">
        <v>2011</v>
      </c>
      <c r="CD42" s="585"/>
      <c r="CE42" s="583">
        <v>2012</v>
      </c>
      <c r="CF42" s="584"/>
      <c r="CG42" s="583">
        <v>2013</v>
      </c>
      <c r="CH42" s="584"/>
      <c r="CI42" s="583">
        <v>2014</v>
      </c>
      <c r="CJ42" s="585"/>
      <c r="CK42" s="583">
        <v>2015</v>
      </c>
      <c r="CL42" s="584"/>
      <c r="CM42" s="583">
        <v>2016</v>
      </c>
      <c r="CN42" s="584"/>
      <c r="CO42" s="583">
        <v>2017</v>
      </c>
      <c r="CP42" s="584"/>
      <c r="CQ42" s="583">
        <v>2018</v>
      </c>
      <c r="CR42" s="585"/>
      <c r="CS42" s="583">
        <v>2019</v>
      </c>
      <c r="CT42" s="584"/>
    </row>
    <row r="43" spans="3:98" ht="10.5" customHeight="1">
      <c r="C43" s="260" t="s">
        <v>142</v>
      </c>
      <c r="D43" s="798" t="s">
        <v>250</v>
      </c>
      <c r="E43" s="798"/>
      <c r="F43" s="798"/>
      <c r="G43" s="798"/>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Z43" s="358"/>
      <c r="BA43" s="372" t="s">
        <v>20</v>
      </c>
      <c r="BB43" s="358"/>
      <c r="BC43" s="82"/>
      <c r="BD43" s="578"/>
      <c r="BE43" s="82"/>
      <c r="BF43" s="578"/>
      <c r="BG43" s="82"/>
      <c r="BH43" s="578"/>
      <c r="BI43" s="82"/>
      <c r="BJ43" s="578"/>
      <c r="BK43" s="81"/>
      <c r="BL43" s="578"/>
      <c r="BM43" s="81"/>
      <c r="BN43" s="578"/>
      <c r="BO43" s="81"/>
      <c r="BP43" s="578"/>
      <c r="BQ43" s="81"/>
      <c r="BR43" s="578"/>
      <c r="BS43" s="81"/>
      <c r="BT43" s="578"/>
      <c r="BU43" s="81"/>
      <c r="BV43" s="578"/>
      <c r="BW43" s="82"/>
      <c r="BX43" s="578"/>
      <c r="BY43" s="81"/>
      <c r="BZ43" s="578"/>
      <c r="CA43" s="81"/>
      <c r="CB43" s="578"/>
      <c r="CC43" s="81"/>
      <c r="CD43" s="578"/>
      <c r="CE43" s="81"/>
      <c r="CF43" s="578"/>
      <c r="CG43" s="81"/>
      <c r="CH43" s="578"/>
      <c r="CI43" s="81"/>
      <c r="CJ43" s="578"/>
      <c r="CK43" s="81"/>
      <c r="CL43" s="578"/>
      <c r="CM43" s="81"/>
      <c r="CN43" s="578"/>
      <c r="CO43" s="81"/>
      <c r="CP43" s="578"/>
      <c r="CQ43" s="81"/>
      <c r="CR43" s="578"/>
      <c r="CS43" s="81"/>
      <c r="CT43" s="578"/>
    </row>
    <row r="44" spans="3:98" ht="10.5" customHeight="1">
      <c r="C44" s="260" t="s">
        <v>142</v>
      </c>
      <c r="D44" s="827" t="s">
        <v>646</v>
      </c>
      <c r="E44" s="827"/>
      <c r="F44" s="827"/>
      <c r="G44" s="827"/>
      <c r="H44" s="827"/>
      <c r="I44" s="827"/>
      <c r="J44" s="827"/>
      <c r="K44" s="827"/>
      <c r="L44" s="827"/>
      <c r="M44" s="827"/>
      <c r="N44" s="827"/>
      <c r="O44" s="827"/>
      <c r="P44" s="827"/>
      <c r="Q44" s="827"/>
      <c r="R44" s="827"/>
      <c r="S44" s="827"/>
      <c r="T44" s="827"/>
      <c r="U44" s="827"/>
      <c r="V44" s="827"/>
      <c r="W44" s="827"/>
      <c r="X44" s="827"/>
      <c r="Y44" s="827"/>
      <c r="Z44" s="827"/>
      <c r="AA44" s="827"/>
      <c r="AB44" s="827"/>
      <c r="AC44" s="827"/>
      <c r="AD44" s="827"/>
      <c r="AE44" s="827"/>
      <c r="AF44" s="827"/>
      <c r="AG44" s="827"/>
      <c r="AH44" s="827"/>
      <c r="AI44" s="827"/>
      <c r="AJ44" s="827"/>
      <c r="AK44" s="827"/>
      <c r="AL44" s="827"/>
      <c r="AM44" s="827"/>
      <c r="AN44" s="827"/>
      <c r="AO44" s="827"/>
      <c r="AP44" s="827"/>
      <c r="AQ44" s="827"/>
      <c r="AR44" s="827"/>
      <c r="AS44" s="827"/>
      <c r="AT44" s="827"/>
      <c r="AU44" s="827"/>
      <c r="AV44" s="827"/>
      <c r="AW44" s="827"/>
      <c r="AX44" s="261"/>
      <c r="AZ44" s="374"/>
      <c r="BA44" s="658"/>
      <c r="BB44" s="374"/>
      <c r="BC44" s="79"/>
      <c r="BD44" s="577"/>
      <c r="BE44" s="79"/>
      <c r="BF44" s="577"/>
      <c r="BG44" s="79"/>
      <c r="BH44" s="577"/>
      <c r="BI44" s="79"/>
      <c r="BJ44" s="577"/>
      <c r="BK44" s="96"/>
      <c r="BL44" s="577"/>
      <c r="BM44" s="96"/>
      <c r="BN44" s="577"/>
      <c r="BO44" s="96"/>
      <c r="BP44" s="577"/>
      <c r="BQ44" s="96"/>
      <c r="BR44" s="577"/>
      <c r="BS44" s="96"/>
      <c r="BT44" s="577"/>
      <c r="BU44" s="96"/>
      <c r="BV44" s="577"/>
      <c r="BW44" s="79"/>
      <c r="BX44" s="577"/>
      <c r="BY44" s="96"/>
      <c r="BZ44" s="577"/>
      <c r="CA44" s="96"/>
      <c r="CB44" s="577"/>
      <c r="CC44" s="96"/>
      <c r="CD44" s="577"/>
      <c r="CE44" s="96"/>
      <c r="CF44" s="577"/>
      <c r="CG44" s="96"/>
      <c r="CH44" s="577"/>
      <c r="CI44" s="96"/>
      <c r="CJ44" s="577"/>
      <c r="CK44" s="96"/>
      <c r="CL44" s="577"/>
      <c r="CM44" s="96"/>
      <c r="CN44" s="577"/>
      <c r="CO44" s="96"/>
      <c r="CP44" s="577"/>
      <c r="CQ44" s="96"/>
      <c r="CR44" s="577"/>
      <c r="CS44" s="96"/>
      <c r="CT44" s="577"/>
    </row>
    <row r="45" spans="3:98" ht="10.5" customHeight="1">
      <c r="C45" s="260" t="s">
        <v>142</v>
      </c>
      <c r="D45" s="827" t="s">
        <v>632</v>
      </c>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261"/>
      <c r="AZ45" s="374"/>
      <c r="BA45" s="658"/>
      <c r="BB45" s="374"/>
      <c r="BC45" s="79"/>
      <c r="BD45" s="577"/>
      <c r="BE45" s="79"/>
      <c r="BF45" s="577"/>
      <c r="BG45" s="79"/>
      <c r="BH45" s="577"/>
      <c r="BI45" s="79"/>
      <c r="BJ45" s="577"/>
      <c r="BK45" s="96"/>
      <c r="BL45" s="577"/>
      <c r="BM45" s="96"/>
      <c r="BN45" s="577"/>
      <c r="BO45" s="96"/>
      <c r="BP45" s="577"/>
      <c r="BQ45" s="96"/>
      <c r="BR45" s="577"/>
      <c r="BS45" s="96"/>
      <c r="BT45" s="577"/>
      <c r="BU45" s="96"/>
      <c r="BV45" s="577"/>
      <c r="BW45" s="79"/>
      <c r="BX45" s="577"/>
      <c r="BY45" s="96"/>
      <c r="BZ45" s="577"/>
      <c r="CA45" s="96"/>
      <c r="CB45" s="577"/>
      <c r="CC45" s="96"/>
      <c r="CD45" s="577"/>
      <c r="CE45" s="96"/>
      <c r="CF45" s="577"/>
      <c r="CG45" s="96"/>
      <c r="CH45" s="577"/>
      <c r="CI45" s="96"/>
      <c r="CJ45" s="577"/>
      <c r="CK45" s="96"/>
      <c r="CL45" s="577"/>
      <c r="CM45" s="96"/>
      <c r="CN45" s="577"/>
      <c r="CO45" s="96"/>
      <c r="CP45" s="577"/>
      <c r="CQ45" s="96"/>
      <c r="CR45" s="577"/>
      <c r="CS45" s="96"/>
      <c r="CT45" s="577"/>
    </row>
    <row r="46" spans="1:112" s="175" customFormat="1" ht="9.75" customHeight="1">
      <c r="A46" s="262"/>
      <c r="B46" s="262"/>
      <c r="C46" s="260" t="s">
        <v>142</v>
      </c>
      <c r="D46" s="794" t="s">
        <v>143</v>
      </c>
      <c r="E46" s="794"/>
      <c r="F46" s="794"/>
      <c r="G46" s="794"/>
      <c r="H46" s="794"/>
      <c r="I46" s="794"/>
      <c r="J46" s="794"/>
      <c r="K46" s="794"/>
      <c r="L46" s="794"/>
      <c r="M46" s="794"/>
      <c r="N46" s="794"/>
      <c r="O46" s="794"/>
      <c r="P46" s="794"/>
      <c r="Q46" s="794"/>
      <c r="R46" s="794"/>
      <c r="S46" s="794"/>
      <c r="T46" s="794"/>
      <c r="U46" s="794"/>
      <c r="V46" s="794"/>
      <c r="W46" s="794"/>
      <c r="X46" s="794"/>
      <c r="Y46" s="794"/>
      <c r="Z46" s="794"/>
      <c r="AA46" s="794"/>
      <c r="AB46" s="794"/>
      <c r="AC46" s="794"/>
      <c r="AD46" s="794"/>
      <c r="AE46" s="794"/>
      <c r="AF46" s="794"/>
      <c r="AG46" s="794"/>
      <c r="AH46" s="794"/>
      <c r="AI46" s="794"/>
      <c r="AJ46" s="794"/>
      <c r="AK46" s="794"/>
      <c r="AL46" s="794"/>
      <c r="AM46" s="794"/>
      <c r="AN46" s="794"/>
      <c r="AO46" s="794"/>
      <c r="AP46" s="794"/>
      <c r="AQ46" s="794"/>
      <c r="AR46" s="794"/>
      <c r="AS46" s="794"/>
      <c r="AT46" s="794"/>
      <c r="AU46" s="794"/>
      <c r="AV46" s="794"/>
      <c r="AW46" s="794"/>
      <c r="AX46" s="794"/>
      <c r="AY46" s="373"/>
      <c r="AZ46" s="673">
        <v>3</v>
      </c>
      <c r="BA46" s="684" t="s">
        <v>120</v>
      </c>
      <c r="BB46" s="96" t="s">
        <v>78</v>
      </c>
      <c r="BC46" s="79">
        <f>F10</f>
        <v>21.209999084472656</v>
      </c>
      <c r="BD46" s="79"/>
      <c r="BE46" s="79">
        <f>H10</f>
        <v>22.770000457763672</v>
      </c>
      <c r="BF46" s="79"/>
      <c r="BG46" s="79">
        <f>J10</f>
        <v>24.940000534057617</v>
      </c>
      <c r="BH46" s="79"/>
      <c r="BI46" s="79">
        <f>L10</f>
        <v>25.65999984741211</v>
      </c>
      <c r="BJ46" s="79"/>
      <c r="BK46" s="79">
        <f>N10</f>
        <v>26.559999465942383</v>
      </c>
      <c r="BL46" s="79"/>
      <c r="BM46" s="79">
        <f>P10</f>
        <v>27.969999313354492</v>
      </c>
      <c r="BN46" s="79"/>
      <c r="BO46" s="79">
        <f>R10</f>
        <v>30.889999389648438</v>
      </c>
      <c r="BP46" s="79"/>
      <c r="BQ46" s="79">
        <f>T10</f>
        <v>39.869998931884766</v>
      </c>
      <c r="BR46" s="79"/>
      <c r="BS46" s="79">
        <f>V10</f>
        <v>65.13099670410156</v>
      </c>
      <c r="BT46" s="79"/>
      <c r="BU46" s="79">
        <f>X10</f>
        <v>65.22786712646484</v>
      </c>
      <c r="BV46" s="79"/>
      <c r="BW46" s="79">
        <f>Z10</f>
        <v>66.56552124023438</v>
      </c>
      <c r="BX46" s="79"/>
      <c r="BY46" s="79">
        <f>AB10</f>
        <v>70.24857330322266</v>
      </c>
      <c r="BZ46" s="79"/>
      <c r="CA46" s="79">
        <f>AD10</f>
        <v>73.42237854003906</v>
      </c>
      <c r="CB46" s="79"/>
      <c r="CC46" s="79">
        <f>AF10</f>
        <v>79.6331787109375</v>
      </c>
      <c r="CD46" s="79"/>
      <c r="CE46" s="79">
        <f>AH10</f>
        <v>79.3934097290039</v>
      </c>
      <c r="CF46" s="79"/>
      <c r="CG46" s="79">
        <f>AJ10</f>
        <v>76.35877990722656</v>
      </c>
      <c r="CH46" s="79"/>
      <c r="CI46" s="79">
        <f>AL10</f>
        <v>75.38417053222656</v>
      </c>
      <c r="CJ46" s="79"/>
      <c r="CK46" s="79">
        <f>AN10</f>
        <v>74.30279541015625</v>
      </c>
      <c r="CL46" s="79"/>
      <c r="CM46" s="79">
        <f>AP10</f>
        <v>75.31027221679688</v>
      </c>
      <c r="CN46" s="79"/>
      <c r="CO46" s="79">
        <f>AR10</f>
        <v>83.11045837402344</v>
      </c>
      <c r="CP46" s="79"/>
      <c r="CQ46" s="79">
        <f>AT10</f>
        <v>0</v>
      </c>
      <c r="CR46" s="79"/>
      <c r="CS46" s="79">
        <f>AV10</f>
        <v>0</v>
      </c>
      <c r="CT46" s="79"/>
      <c r="CU46" s="267"/>
      <c r="CV46" s="267"/>
      <c r="CW46" s="267"/>
      <c r="CX46" s="267"/>
      <c r="CY46" s="267"/>
      <c r="CZ46" s="267"/>
      <c r="DA46" s="267"/>
      <c r="DB46" s="267"/>
      <c r="DC46" s="267"/>
      <c r="DD46" s="267"/>
      <c r="DE46" s="267"/>
      <c r="DF46" s="267"/>
      <c r="DG46" s="267"/>
      <c r="DH46" s="267"/>
    </row>
    <row r="47" spans="1:112" s="175" customFormat="1" ht="12.75">
      <c r="A47" s="262"/>
      <c r="B47" s="262"/>
      <c r="C47" s="260" t="s">
        <v>142</v>
      </c>
      <c r="D47" s="798" t="s">
        <v>110</v>
      </c>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373"/>
      <c r="AZ47" s="685">
        <v>32</v>
      </c>
      <c r="BA47" s="686" t="s">
        <v>223</v>
      </c>
      <c r="BB47" s="96" t="s">
        <v>78</v>
      </c>
      <c r="BC47" s="82">
        <f>F8+F9</f>
        <v>21.209999084472656</v>
      </c>
      <c r="BD47" s="82"/>
      <c r="BE47" s="82">
        <f>H8+H9</f>
        <v>22.770000457763672</v>
      </c>
      <c r="BF47" s="82"/>
      <c r="BG47" s="82">
        <f>J8+J9</f>
        <v>24.940000534057617</v>
      </c>
      <c r="BH47" s="82"/>
      <c r="BI47" s="82">
        <f>L8+L9</f>
        <v>25.65999984741211</v>
      </c>
      <c r="BJ47" s="82"/>
      <c r="BK47" s="82">
        <f>N8+N9</f>
        <v>26.559999465942383</v>
      </c>
      <c r="BL47" s="82"/>
      <c r="BM47" s="82">
        <f>P8+P9</f>
        <v>27.969999313354492</v>
      </c>
      <c r="BN47" s="82"/>
      <c r="BO47" s="82">
        <f>R8+R9</f>
        <v>30.889999389648438</v>
      </c>
      <c r="BP47" s="82"/>
      <c r="BQ47" s="82">
        <f>T8+T9</f>
        <v>39.8699991106987</v>
      </c>
      <c r="BR47" s="82"/>
      <c r="BS47" s="82">
        <f>V8+V9</f>
        <v>65.13100099563599</v>
      </c>
      <c r="BT47" s="82"/>
      <c r="BU47" s="82">
        <f>X8+X9</f>
        <v>65.22786712646484</v>
      </c>
      <c r="BV47" s="82"/>
      <c r="BW47" s="82">
        <f>Z8+Z9</f>
        <v>66.56551671028137</v>
      </c>
      <c r="BX47" s="82"/>
      <c r="BY47" s="82">
        <f>AB8+AB9</f>
        <v>70.24856877326965</v>
      </c>
      <c r="BZ47" s="82"/>
      <c r="CA47" s="82">
        <f>AD8+AD9</f>
        <v>73.42237639427185</v>
      </c>
      <c r="CB47" s="82"/>
      <c r="CC47" s="82">
        <f>AF8+AF9</f>
        <v>79.6331776380539</v>
      </c>
      <c r="CD47" s="82"/>
      <c r="CE47" s="82">
        <f>AH8+AH9</f>
        <v>79.3934086561203</v>
      </c>
      <c r="CF47" s="82"/>
      <c r="CG47" s="82">
        <f>AJ8+AJ9</f>
        <v>76.35878360271454</v>
      </c>
      <c r="CH47" s="82"/>
      <c r="CI47" s="82">
        <f>AL8+AL9</f>
        <v>75.38417363166809</v>
      </c>
      <c r="CJ47" s="82"/>
      <c r="CK47" s="82">
        <f>AN8+AN9</f>
        <v>74.30279850959778</v>
      </c>
      <c r="CL47" s="82"/>
      <c r="CM47" s="82">
        <f>AP8+AP9</f>
        <v>75.31026947498322</v>
      </c>
      <c r="CN47" s="82"/>
      <c r="CO47" s="82">
        <f>AR8+AR9</f>
        <v>83.1104621887207</v>
      </c>
      <c r="CP47" s="82"/>
      <c r="CQ47" s="82">
        <f>AT8+AT9</f>
        <v>0</v>
      </c>
      <c r="CR47" s="82"/>
      <c r="CS47" s="82">
        <f>AV8+AV9</f>
        <v>0</v>
      </c>
      <c r="CT47" s="82"/>
      <c r="CU47" s="267"/>
      <c r="CV47" s="267"/>
      <c r="CW47" s="267"/>
      <c r="CX47" s="267"/>
      <c r="CY47" s="267"/>
      <c r="CZ47" s="267"/>
      <c r="DA47" s="267"/>
      <c r="DB47" s="267"/>
      <c r="DC47" s="267"/>
      <c r="DD47" s="267"/>
      <c r="DE47" s="267"/>
      <c r="DF47" s="267"/>
      <c r="DG47" s="267"/>
      <c r="DH47" s="267"/>
    </row>
    <row r="48" spans="1:112" s="175" customFormat="1" ht="10.5" customHeight="1">
      <c r="A48" s="262"/>
      <c r="B48" s="262"/>
      <c r="C48" s="260"/>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373"/>
      <c r="AZ48" s="687" t="s">
        <v>176</v>
      </c>
      <c r="BA48" s="686" t="s">
        <v>608</v>
      </c>
      <c r="BB48" s="96"/>
      <c r="BC48" s="79" t="str">
        <f>IF(OR(ISBLANK(F8),ISBLANK(F9),ISBLANK(F10)),"N/A",IF((BC46=BC47),"ok","&lt;&gt;"))</f>
        <v>ok</v>
      </c>
      <c r="BD48" s="79"/>
      <c r="BE48" s="79" t="str">
        <f>IF(OR(ISBLANK(H8),ISBLANK(H9),ISBLANK(H10)),"N/A",IF((BE46=BE47),"ok","&lt;&gt;"))</f>
        <v>ok</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&lt;&gt;</v>
      </c>
      <c r="BR48" s="79"/>
      <c r="BS48" s="79" t="str">
        <f>IF(OR(ISBLANK(V8),ISBLANK(V9),ISBLANK(V10)),"N/A",IF((BS46=BS47),"ok","&lt;&gt;"))</f>
        <v>&lt;&gt;</v>
      </c>
      <c r="BT48" s="79"/>
      <c r="BU48" s="79" t="str">
        <f>IF(OR(ISBLANK(X8),ISBLANK(X9),ISBLANK(X10)),"N/A",IF((BU46=BU47),"ok","&lt;&gt;"))</f>
        <v>ok</v>
      </c>
      <c r="BV48" s="79"/>
      <c r="BW48" s="79" t="str">
        <f>IF(OR(ISBLANK(Z8),ISBLANK(Z9),ISBLANK(Z10)),"N/A",IF((BW46=BW47),"ok","&lt;&gt;"))</f>
        <v>&lt;&gt;</v>
      </c>
      <c r="BX48" s="79"/>
      <c r="BY48" s="79" t="str">
        <f>IF(OR(ISBLANK(AB8),ISBLANK(AB9),ISBLANK(AB10)),"N/A",IF((BY46=BY47),"ok","&lt;&gt;"))</f>
        <v>&lt;&gt;</v>
      </c>
      <c r="BZ48" s="79"/>
      <c r="CA48" s="79" t="str">
        <f>IF(OR(ISBLANK(AD8),ISBLANK(AD9),ISBLANK(AD10)),"N/A",IF((CA46=CA47),"ok","&lt;&gt;"))</f>
        <v>&lt;&gt;</v>
      </c>
      <c r="CB48" s="79"/>
      <c r="CC48" s="79" t="str">
        <f>IF(OR(ISBLANK(AF8),ISBLANK(AF9),ISBLANK(AF10)),"N/A",IF((CC46=CC47),"ok","&lt;&gt;"))</f>
        <v>&lt;&gt;</v>
      </c>
      <c r="CD48" s="79"/>
      <c r="CE48" s="79" t="str">
        <f>IF(OR(ISBLANK(AH8),ISBLANK(AH9),ISBLANK(AH10)),"N/A",IF((CE46=CE47),"ok","&lt;&gt;"))</f>
        <v>&lt;&gt;</v>
      </c>
      <c r="CF48" s="79"/>
      <c r="CG48" s="79" t="str">
        <f>IF(OR(ISBLANK(AJ8),ISBLANK(AJ9),ISBLANK(AJ10)),"N/A",IF((CG46=CG47),"ok","&lt;&gt;"))</f>
        <v>&lt;&gt;</v>
      </c>
      <c r="CH48" s="79"/>
      <c r="CI48" s="79" t="str">
        <f>IF(OR(ISBLANK(AL8),ISBLANK(AL9),ISBLANK(AL10)),"N/A",IF((CI46=CI47),"ok","&lt;&gt;"))</f>
        <v>&lt;&gt;</v>
      </c>
      <c r="CJ48" s="79"/>
      <c r="CK48" s="79" t="str">
        <f>IF(OR(ISBLANK(AN8),ISBLANK(AN9),ISBLANK(AN10)),"N/A",IF((CK46=CK47),"ok","&lt;&gt;"))</f>
        <v>&lt;&gt;</v>
      </c>
      <c r="CL48" s="79"/>
      <c r="CM48" s="79" t="str">
        <f>IF(OR(ISBLANK(AP8),ISBLANK(AP9),ISBLANK(AP10)),"N/A",IF((CM46=CM47),"ok","&lt;&gt;"))</f>
        <v>&lt;&gt;</v>
      </c>
      <c r="CN48" s="79"/>
      <c r="CO48" s="79" t="str">
        <f>IF(OR(ISBLANK(AR8),ISBLANK(AR9),ISBLANK(AR10)),"N/A",IF((CO46=CO47),"ok","&lt;&gt;"))</f>
        <v>&lt;&gt;</v>
      </c>
      <c r="CP48" s="79"/>
      <c r="CQ48" s="79" t="str">
        <f>IF(OR(ISBLANK(AT8),ISBLANK(AT9),ISBLANK(AT10)),"N/A",IF((CQ46=CQ47),"ok","&lt;&gt;"))</f>
        <v>N/A</v>
      </c>
      <c r="CR48" s="79"/>
      <c r="CS48" s="79" t="str">
        <f>IF(OR(ISBLANK(AV8),ISBLANK(AV9),ISBLANK(AV10)),"N/A",IF((CS46=CS47),"ok","&lt;&gt;"))</f>
        <v>N/A</v>
      </c>
      <c r="CT48" s="79"/>
      <c r="CU48" s="267"/>
      <c r="CV48" s="267"/>
      <c r="CW48" s="267"/>
      <c r="CX48" s="267"/>
      <c r="CY48" s="267"/>
      <c r="CZ48" s="267"/>
      <c r="DA48" s="267"/>
      <c r="DB48" s="267"/>
      <c r="DC48" s="267"/>
      <c r="DD48" s="267"/>
      <c r="DE48" s="267"/>
      <c r="DF48" s="267"/>
      <c r="DG48" s="267"/>
      <c r="DH48" s="267"/>
    </row>
    <row r="49" spans="1:112" s="175" customFormat="1" ht="24" customHeight="1">
      <c r="A49" s="262"/>
      <c r="B49" s="262"/>
      <c r="C49" s="260"/>
      <c r="D49" s="708" t="str">
        <f>LEFT(D10,LEN(D10)-7)&amp;" (W2,3)"</f>
        <v>Gross freshwater abstracted (W2,3)</v>
      </c>
      <c r="E49" s="590"/>
      <c r="F49" s="799"/>
      <c r="G49" s="799"/>
      <c r="H49" s="799"/>
      <c r="I49" s="799"/>
      <c r="J49" s="799"/>
      <c r="K49" s="799"/>
      <c r="L49" s="799"/>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373"/>
      <c r="AZ49" s="674">
        <v>20</v>
      </c>
      <c r="BA49" s="688" t="s">
        <v>609</v>
      </c>
      <c r="BB49" s="96"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67"/>
      <c r="CV49" s="267"/>
      <c r="CW49" s="267"/>
      <c r="CX49" s="267"/>
      <c r="CY49" s="267"/>
      <c r="CZ49" s="267"/>
      <c r="DA49" s="267"/>
      <c r="DB49" s="267"/>
      <c r="DC49" s="267"/>
      <c r="DD49" s="267"/>
      <c r="DE49" s="267"/>
      <c r="DF49" s="267"/>
      <c r="DG49" s="267"/>
      <c r="DH49" s="267"/>
    </row>
    <row r="50" spans="1:112" s="175" customFormat="1" ht="31.5" customHeight="1">
      <c r="A50" s="262"/>
      <c r="B50" s="262"/>
      <c r="C50" s="260"/>
      <c r="D50" s="654"/>
      <c r="E50" s="706"/>
      <c r="F50" s="654"/>
      <c r="G50" s="654"/>
      <c r="H50" s="654"/>
      <c r="I50" s="654"/>
      <c r="J50" s="654"/>
      <c r="K50" s="654"/>
      <c r="L50" s="820" t="str">
        <f>D11&amp;" (W2,4)"</f>
        <v>Water returned without use (W2,4)</v>
      </c>
      <c r="M50" s="822"/>
      <c r="N50" s="822"/>
      <c r="O50" s="822"/>
      <c r="P50" s="823"/>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373"/>
      <c r="AZ50" s="685">
        <v>33</v>
      </c>
      <c r="BA50" s="689" t="s">
        <v>610</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67"/>
      <c r="CV50" s="267"/>
      <c r="CW50" s="267"/>
      <c r="CX50" s="267"/>
      <c r="CY50" s="267"/>
      <c r="CZ50" s="267"/>
      <c r="DA50" s="267"/>
      <c r="DB50" s="267"/>
      <c r="DC50" s="267"/>
      <c r="DD50" s="267"/>
      <c r="DE50" s="267"/>
      <c r="DF50" s="267"/>
      <c r="DG50" s="267"/>
      <c r="DH50" s="267"/>
    </row>
    <row r="51" spans="1:98" s="360" customFormat="1" ht="24.75" customHeight="1">
      <c r="A51" s="194"/>
      <c r="B51" s="163"/>
      <c r="C51" s="523"/>
      <c r="D51" s="276"/>
      <c r="E51" s="820" t="str">
        <f>LEFT(D12,LEN(D12)-7)&amp;" (W2,5)"</f>
        <v>Net freshwater abstracted (W2,5)</v>
      </c>
      <c r="F51" s="755"/>
      <c r="G51" s="755"/>
      <c r="H51" s="821"/>
      <c r="I51" s="271"/>
      <c r="J51" s="271"/>
      <c r="K51" s="271"/>
      <c r="L51" s="655"/>
      <c r="M51" s="655"/>
      <c r="N51" s="655"/>
      <c r="O51" s="655"/>
      <c r="P51" s="655"/>
      <c r="Q51" s="655"/>
      <c r="R51" s="655"/>
      <c r="S51" s="655"/>
      <c r="T51" s="655"/>
      <c r="U51" s="655"/>
      <c r="V51" s="655"/>
      <c r="W51" s="655"/>
      <c r="X51" s="271"/>
      <c r="Y51" s="271"/>
      <c r="Z51" s="271"/>
      <c r="AA51" s="271"/>
      <c r="AB51" s="271"/>
      <c r="AC51" s="276"/>
      <c r="AD51" s="276"/>
      <c r="AE51" s="524"/>
      <c r="AF51" s="524"/>
      <c r="AG51" s="524"/>
      <c r="AH51" s="524"/>
      <c r="AI51" s="524"/>
      <c r="AJ51" s="524"/>
      <c r="AK51" s="524"/>
      <c r="AL51" s="524"/>
      <c r="AM51" s="524"/>
      <c r="AN51" s="524"/>
      <c r="AO51" s="524"/>
      <c r="AP51" s="524"/>
      <c r="AQ51" s="799"/>
      <c r="AR51" s="799"/>
      <c r="AS51" s="799"/>
      <c r="AT51" s="799"/>
      <c r="AU51" s="799"/>
      <c r="AV51" s="799"/>
      <c r="AW51" s="799"/>
      <c r="AX51" s="191"/>
      <c r="AY51" s="197"/>
      <c r="AZ51" s="687" t="s">
        <v>176</v>
      </c>
      <c r="BA51" s="686" t="s">
        <v>570</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5" ref="BG51:CS51">IF(OR(ISBLANK(J12),ISBLANK(J24),ISBLANK(J25),ISBLANK(J26),ISBLANK(J27),ISBLANK(J28)),"N/A",IF((BG49=BG50),"ok","&lt;&gt;"))</f>
        <v>N/A</v>
      </c>
      <c r="BH51" s="79"/>
      <c r="BI51" s="79" t="str">
        <f t="shared" si="35"/>
        <v>N/A</v>
      </c>
      <c r="BJ51" s="79"/>
      <c r="BK51" s="79" t="str">
        <f t="shared" si="35"/>
        <v>N/A</v>
      </c>
      <c r="BL51" s="79"/>
      <c r="BM51" s="79" t="str">
        <f t="shared" si="35"/>
        <v>N/A</v>
      </c>
      <c r="BN51" s="79"/>
      <c r="BO51" s="79" t="str">
        <f t="shared" si="35"/>
        <v>N/A</v>
      </c>
      <c r="BP51" s="79"/>
      <c r="BQ51" s="79" t="str">
        <f t="shared" si="35"/>
        <v>N/A</v>
      </c>
      <c r="BR51" s="79"/>
      <c r="BS51" s="79" t="str">
        <f t="shared" si="35"/>
        <v>N/A</v>
      </c>
      <c r="BT51" s="79"/>
      <c r="BU51" s="79" t="str">
        <f t="shared" si="35"/>
        <v>N/A</v>
      </c>
      <c r="BV51" s="79"/>
      <c r="BW51" s="79" t="str">
        <f t="shared" si="35"/>
        <v>N/A</v>
      </c>
      <c r="BX51" s="79"/>
      <c r="BY51" s="79" t="str">
        <f t="shared" si="35"/>
        <v>N/A</v>
      </c>
      <c r="BZ51" s="79"/>
      <c r="CA51" s="79" t="str">
        <f t="shared" si="35"/>
        <v>N/A</v>
      </c>
      <c r="CB51" s="79"/>
      <c r="CC51" s="79" t="str">
        <f t="shared" si="35"/>
        <v>N/A</v>
      </c>
      <c r="CD51" s="79"/>
      <c r="CE51" s="79" t="str">
        <f t="shared" si="35"/>
        <v>N/A</v>
      </c>
      <c r="CF51" s="79"/>
      <c r="CG51" s="79" t="str">
        <f t="shared" si="35"/>
        <v>N/A</v>
      </c>
      <c r="CH51" s="79"/>
      <c r="CI51" s="79" t="str">
        <f t="shared" si="35"/>
        <v>N/A</v>
      </c>
      <c r="CJ51" s="79"/>
      <c r="CK51" s="79" t="str">
        <f t="shared" si="35"/>
        <v>N/A</v>
      </c>
      <c r="CL51" s="79"/>
      <c r="CM51" s="79" t="str">
        <f t="shared" si="35"/>
        <v>N/A</v>
      </c>
      <c r="CN51" s="79"/>
      <c r="CO51" s="79" t="str">
        <f t="shared" si="35"/>
        <v>N/A</v>
      </c>
      <c r="CP51" s="79"/>
      <c r="CQ51" s="79" t="str">
        <f t="shared" si="35"/>
        <v>N/A</v>
      </c>
      <c r="CR51" s="79"/>
      <c r="CS51" s="79" t="str">
        <f t="shared" si="35"/>
        <v>N/A</v>
      </c>
      <c r="CT51" s="79"/>
    </row>
    <row r="52" spans="3:98" ht="15" customHeight="1">
      <c r="C52" s="523"/>
      <c r="D52" s="525" t="str">
        <f>D13</f>
        <v>of which abstracted by:</v>
      </c>
      <c r="E52" s="707"/>
      <c r="F52" s="271"/>
      <c r="G52" s="271"/>
      <c r="H52" s="271"/>
      <c r="I52" s="271"/>
      <c r="J52" s="271"/>
      <c r="K52" s="271"/>
      <c r="L52" s="656"/>
      <c r="M52" s="655"/>
      <c r="N52" s="655"/>
      <c r="O52" s="655"/>
      <c r="P52" s="655"/>
      <c r="Q52" s="655"/>
      <c r="R52" s="655"/>
      <c r="S52" s="655"/>
      <c r="T52" s="655"/>
      <c r="U52" s="655"/>
      <c r="V52" s="655"/>
      <c r="W52" s="655"/>
      <c r="X52" s="271"/>
      <c r="Y52" s="271"/>
      <c r="Z52" s="271"/>
      <c r="AK52" s="524"/>
      <c r="AL52" s="524"/>
      <c r="AM52" s="524"/>
      <c r="AN52" s="524"/>
      <c r="AO52" s="524"/>
      <c r="AP52" s="527"/>
      <c r="AQ52" s="799"/>
      <c r="AR52" s="799"/>
      <c r="AS52" s="799"/>
      <c r="AT52" s="799"/>
      <c r="AU52" s="799"/>
      <c r="AV52" s="799"/>
      <c r="AW52" s="799"/>
      <c r="AX52" s="191"/>
      <c r="AZ52" s="674">
        <v>5</v>
      </c>
      <c r="BA52" s="684" t="s">
        <v>623</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23"/>
      <c r="D53" s="522" t="str">
        <f>D14&amp;" (W2,6)"</f>
        <v>Water supply industry (ISIC 36) (W2,6)</v>
      </c>
      <c r="E53" s="528"/>
      <c r="F53" s="828" t="str">
        <f>D24&amp;" (W2,16)"</f>
        <v>Desalinated water (W2,16)</v>
      </c>
      <c r="G53" s="829"/>
      <c r="H53" s="830"/>
      <c r="I53" s="524"/>
      <c r="J53" s="524"/>
      <c r="K53" s="524"/>
      <c r="L53" s="657"/>
      <c r="M53" s="657"/>
      <c r="N53" s="657"/>
      <c r="O53" s="657"/>
      <c r="P53" s="657"/>
      <c r="Q53" s="657"/>
      <c r="R53" s="657"/>
      <c r="S53" s="657"/>
      <c r="T53" s="657"/>
      <c r="U53" s="657"/>
      <c r="V53" s="657"/>
      <c r="W53" s="657"/>
      <c r="X53" s="524"/>
      <c r="Y53" s="524"/>
      <c r="Z53" s="271"/>
      <c r="AA53" s="542"/>
      <c r="AB53" s="542"/>
      <c r="AC53" s="524"/>
      <c r="AD53" s="524"/>
      <c r="AE53" s="271"/>
      <c r="AF53" s="542"/>
      <c r="AG53" s="542"/>
      <c r="AH53" s="542"/>
      <c r="AI53" s="526"/>
      <c r="AJ53" s="526"/>
      <c r="AK53" s="799"/>
      <c r="AL53" s="843"/>
      <c r="AM53" s="843"/>
      <c r="AN53" s="524"/>
      <c r="AO53" s="524"/>
      <c r="AP53" s="524"/>
      <c r="AQ53" s="595"/>
      <c r="AR53" s="595"/>
      <c r="AS53" s="595"/>
      <c r="AT53" s="595"/>
      <c r="AU53" s="595"/>
      <c r="AV53" s="595"/>
      <c r="AW53" s="595"/>
      <c r="AX53" s="191"/>
      <c r="AZ53" s="685">
        <v>34</v>
      </c>
      <c r="BA53" s="689" t="s">
        <v>613</v>
      </c>
      <c r="BB53" s="96"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520"/>
      <c r="C54" s="529"/>
      <c r="D54" s="530"/>
      <c r="E54" s="524"/>
      <c r="F54" s="840"/>
      <c r="G54" s="841"/>
      <c r="H54" s="842"/>
      <c r="I54" s="524"/>
      <c r="J54" s="524"/>
      <c r="K54" s="524"/>
      <c r="L54" s="524"/>
      <c r="M54" s="524"/>
      <c r="N54" s="524"/>
      <c r="O54" s="524"/>
      <c r="P54" s="524"/>
      <c r="Q54" s="524"/>
      <c r="R54" s="524"/>
      <c r="S54" s="524"/>
      <c r="T54" s="524"/>
      <c r="U54" s="847" t="s">
        <v>516</v>
      </c>
      <c r="V54" s="848"/>
      <c r="W54" s="524"/>
      <c r="X54" s="524"/>
      <c r="Y54" s="524"/>
      <c r="Z54" s="542"/>
      <c r="AK54" s="843"/>
      <c r="AL54" s="843"/>
      <c r="AM54" s="843"/>
      <c r="AN54" s="524"/>
      <c r="AO54" s="524"/>
      <c r="AP54" s="524"/>
      <c r="AQ54" s="799"/>
      <c r="AR54" s="843"/>
      <c r="AS54" s="843"/>
      <c r="AT54" s="843"/>
      <c r="AU54" s="843"/>
      <c r="AV54" s="843"/>
      <c r="AW54" s="843"/>
      <c r="AZ54" s="687" t="s">
        <v>176</v>
      </c>
      <c r="BA54" s="686" t="s">
        <v>624</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29"/>
      <c r="D55" s="522" t="str">
        <f>D15&amp;" (W2,7)"</f>
        <v>Households  (W2,7)</v>
      </c>
      <c r="E55" s="524"/>
      <c r="F55" s="524"/>
      <c r="G55" s="524"/>
      <c r="H55" s="524"/>
      <c r="I55" s="524"/>
      <c r="J55" s="524"/>
      <c r="K55" s="524"/>
      <c r="L55" s="828" t="str">
        <f>LEFT(D28,LEN(D28)-16)&amp;" (W2,20)"</f>
        <v>Total freshwater available for use  (W2,20)</v>
      </c>
      <c r="M55" s="829"/>
      <c r="N55" s="830"/>
      <c r="O55" s="524"/>
      <c r="P55" s="524"/>
      <c r="Q55" s="828" t="str">
        <f>LEFT(D30,LEN(D30)-8)&amp;" (W2,22)"</f>
        <v>Total freshwater use  (W2,22)</v>
      </c>
      <c r="R55" s="829"/>
      <c r="S55" s="830"/>
      <c r="U55" s="848"/>
      <c r="V55" s="848"/>
      <c r="W55" s="524"/>
      <c r="X55" s="524"/>
      <c r="Y55" s="524"/>
      <c r="Z55" s="542"/>
      <c r="AA55" s="820" t="str">
        <f>D32&amp;" (W2,23)"</f>
        <v>    Households  (W2,23)</v>
      </c>
      <c r="AB55" s="844"/>
      <c r="AC55" s="844"/>
      <c r="AD55" s="844"/>
      <c r="AE55" s="844"/>
      <c r="AF55" s="844"/>
      <c r="AG55" s="844"/>
      <c r="AH55" s="845"/>
      <c r="AI55" s="845"/>
      <c r="AJ55" s="846"/>
      <c r="AK55" s="843"/>
      <c r="AL55" s="843"/>
      <c r="AM55" s="843"/>
      <c r="AN55" s="849"/>
      <c r="AO55" s="850"/>
      <c r="AP55" s="524"/>
      <c r="AQ55" s="843"/>
      <c r="AR55" s="843"/>
      <c r="AS55" s="843"/>
      <c r="AT55" s="843"/>
      <c r="AU55" s="843"/>
      <c r="AV55" s="843"/>
      <c r="AW55" s="843"/>
      <c r="AZ55" s="674">
        <v>22</v>
      </c>
      <c r="BA55" s="684" t="s">
        <v>607</v>
      </c>
      <c r="BB55" s="96"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529"/>
      <c r="D56" s="531"/>
      <c r="E56" s="524"/>
      <c r="F56" s="524"/>
      <c r="G56" s="524"/>
      <c r="H56" s="524"/>
      <c r="I56" s="524"/>
      <c r="J56" s="524"/>
      <c r="K56" s="524"/>
      <c r="L56" s="831"/>
      <c r="M56" s="832"/>
      <c r="N56" s="833"/>
      <c r="O56" s="524"/>
      <c r="P56" s="524"/>
      <c r="Q56" s="831"/>
      <c r="R56" s="832"/>
      <c r="S56" s="833"/>
      <c r="T56" s="524"/>
      <c r="U56" s="524"/>
      <c r="V56" s="524"/>
      <c r="W56" s="524"/>
      <c r="X56" s="524"/>
      <c r="Y56" s="524"/>
      <c r="Z56" s="526"/>
      <c r="AK56" s="843"/>
      <c r="AL56" s="843"/>
      <c r="AM56" s="843"/>
      <c r="AN56" s="851"/>
      <c r="AO56" s="850"/>
      <c r="AP56" s="524"/>
      <c r="AQ56" s="526"/>
      <c r="AR56" s="526"/>
      <c r="AS56" s="526"/>
      <c r="AT56" s="526"/>
      <c r="AU56" s="526"/>
      <c r="AV56" s="526"/>
      <c r="AW56" s="526"/>
      <c r="AZ56" s="685">
        <v>35</v>
      </c>
      <c r="BA56" s="686" t="s">
        <v>612</v>
      </c>
      <c r="BB56" s="96"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529"/>
      <c r="D57" s="522" t="str">
        <f>D16&amp;" (W2,8)"</f>
        <v>Agriculture, forestry and fishing (ISIC 01-03) (W2,8)</v>
      </c>
      <c r="E57" s="524"/>
      <c r="F57" s="820" t="str">
        <f>D25&amp;" (W2,17)"</f>
        <v>Reused water (W2,17)</v>
      </c>
      <c r="G57" s="755"/>
      <c r="H57" s="756"/>
      <c r="I57" s="524"/>
      <c r="J57" s="524"/>
      <c r="K57" s="524"/>
      <c r="L57" s="831"/>
      <c r="M57" s="832"/>
      <c r="N57" s="833"/>
      <c r="O57" s="524"/>
      <c r="P57" s="524"/>
      <c r="Q57" s="831"/>
      <c r="R57" s="832"/>
      <c r="S57" s="833"/>
      <c r="T57" s="524"/>
      <c r="U57" s="524"/>
      <c r="V57" s="524"/>
      <c r="W57" s="524"/>
      <c r="X57" s="524"/>
      <c r="Y57" s="524"/>
      <c r="Z57" s="271"/>
      <c r="AA57" s="837" t="str">
        <f>D33&amp;" (W2,24)"</f>
        <v>Agriculture, forestry and fishing (ISIC 01-03) (W2,24)</v>
      </c>
      <c r="AB57" s="755"/>
      <c r="AC57" s="755"/>
      <c r="AD57" s="755"/>
      <c r="AE57" s="755"/>
      <c r="AF57" s="755"/>
      <c r="AG57" s="755"/>
      <c r="AH57" s="838"/>
      <c r="AI57" s="838"/>
      <c r="AJ57" s="839"/>
      <c r="AK57" s="843"/>
      <c r="AL57" s="843"/>
      <c r="AM57" s="843"/>
      <c r="AN57" s="532"/>
      <c r="AO57" s="533"/>
      <c r="AP57" s="524"/>
      <c r="AQ57" s="799"/>
      <c r="AR57" s="799"/>
      <c r="AS57" s="799"/>
      <c r="AT57" s="799"/>
      <c r="AU57" s="799"/>
      <c r="AV57" s="799"/>
      <c r="AW57" s="799"/>
      <c r="AZ57" s="690" t="s">
        <v>176</v>
      </c>
      <c r="BA57" s="691" t="s">
        <v>611</v>
      </c>
      <c r="BB57" s="38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529"/>
      <c r="D58" s="534"/>
      <c r="E58" s="524"/>
      <c r="F58" s="524"/>
      <c r="G58" s="524"/>
      <c r="H58" s="524"/>
      <c r="I58" s="524"/>
      <c r="J58" s="524"/>
      <c r="K58" s="524"/>
      <c r="L58" s="831"/>
      <c r="M58" s="832"/>
      <c r="N58" s="833"/>
      <c r="O58" s="524"/>
      <c r="P58" s="524"/>
      <c r="Q58" s="831"/>
      <c r="R58" s="832"/>
      <c r="S58" s="833"/>
      <c r="T58" s="524"/>
      <c r="U58" s="524"/>
      <c r="V58" s="524"/>
      <c r="W58" s="524"/>
      <c r="X58" s="524"/>
      <c r="Y58" s="524"/>
      <c r="Z58" s="526"/>
      <c r="AA58" s="524"/>
      <c r="AB58" s="524"/>
      <c r="AC58" s="524"/>
      <c r="AD58" s="524"/>
      <c r="AE58" s="524"/>
      <c r="AF58" s="524"/>
      <c r="AG58" s="524"/>
      <c r="AH58" s="524"/>
      <c r="AI58" s="524"/>
      <c r="AJ58" s="524"/>
      <c r="AK58" s="843"/>
      <c r="AL58" s="843"/>
      <c r="AM58" s="843"/>
      <c r="AN58" s="524"/>
      <c r="AO58" s="524"/>
      <c r="AP58" s="524"/>
      <c r="AQ58" s="526"/>
      <c r="AR58" s="526"/>
      <c r="AS58" s="526"/>
      <c r="AT58" s="526"/>
      <c r="AU58" s="526"/>
      <c r="AV58" s="526"/>
      <c r="AW58" s="526"/>
      <c r="AY58" s="300"/>
      <c r="AZ58" s="297" t="s">
        <v>55</v>
      </c>
      <c r="BA58" s="298"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9"/>
      <c r="D59" s="522" t="str">
        <f>D18&amp;" (W2,10)"</f>
        <v>Mining and quarrying (ISIC 05-09) (W2,10)</v>
      </c>
      <c r="E59" s="524"/>
      <c r="F59" s="524"/>
      <c r="G59" s="524"/>
      <c r="H59" s="524"/>
      <c r="I59" s="524"/>
      <c r="J59" s="524"/>
      <c r="K59" s="524"/>
      <c r="L59" s="831"/>
      <c r="M59" s="832"/>
      <c r="N59" s="833"/>
      <c r="O59" s="524"/>
      <c r="P59" s="524"/>
      <c r="Q59" s="831"/>
      <c r="R59" s="832"/>
      <c r="S59" s="833"/>
      <c r="T59" s="524"/>
      <c r="U59" s="524"/>
      <c r="V59" s="524"/>
      <c r="W59" s="524"/>
      <c r="X59" s="524"/>
      <c r="Y59" s="524"/>
      <c r="Z59" s="526"/>
      <c r="AA59" s="837" t="str">
        <f>D35&amp;" (W2,26)"</f>
        <v>Mining and quarrying (ISIC 05-09) (W2,26)</v>
      </c>
      <c r="AB59" s="755"/>
      <c r="AC59" s="755"/>
      <c r="AD59" s="755"/>
      <c r="AE59" s="755"/>
      <c r="AF59" s="755"/>
      <c r="AG59" s="755"/>
      <c r="AH59" s="838"/>
      <c r="AI59" s="838"/>
      <c r="AJ59" s="839"/>
      <c r="AK59" s="542"/>
      <c r="AL59" s="542"/>
      <c r="AM59" s="542"/>
      <c r="AN59" s="524"/>
      <c r="AO59" s="524"/>
      <c r="AP59" s="524"/>
      <c r="AQ59" s="526"/>
      <c r="AR59" s="526"/>
      <c r="AS59" s="526"/>
      <c r="AT59" s="526"/>
      <c r="AU59" s="526"/>
      <c r="AV59" s="526"/>
      <c r="AW59" s="526"/>
      <c r="AY59" s="300"/>
      <c r="AZ59" s="297" t="s">
        <v>57</v>
      </c>
      <c r="BA59" s="298"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29"/>
      <c r="D60" s="534"/>
      <c r="E60" s="524"/>
      <c r="F60" s="524"/>
      <c r="G60" s="524"/>
      <c r="H60" s="524"/>
      <c r="I60" s="524"/>
      <c r="J60" s="524"/>
      <c r="K60" s="524"/>
      <c r="L60" s="831"/>
      <c r="M60" s="832"/>
      <c r="N60" s="833"/>
      <c r="O60" s="524"/>
      <c r="P60" s="524"/>
      <c r="Q60" s="831"/>
      <c r="R60" s="832"/>
      <c r="S60" s="833"/>
      <c r="T60" s="524"/>
      <c r="U60" s="524"/>
      <c r="V60" s="524"/>
      <c r="W60" s="524"/>
      <c r="X60" s="524"/>
      <c r="Y60" s="524"/>
      <c r="Z60" s="526"/>
      <c r="AK60" s="542"/>
      <c r="AL60" s="542"/>
      <c r="AM60" s="542"/>
      <c r="AN60" s="524"/>
      <c r="AO60" s="524"/>
      <c r="AP60" s="524"/>
      <c r="AQ60" s="526"/>
      <c r="AR60" s="526"/>
      <c r="AS60" s="526"/>
      <c r="AT60" s="526"/>
      <c r="AU60" s="526"/>
      <c r="AV60" s="526"/>
      <c r="AW60" s="526"/>
      <c r="AY60" s="300"/>
      <c r="AZ60" s="299" t="s">
        <v>60</v>
      </c>
      <c r="BA60" s="298"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9"/>
      <c r="D61" s="522" t="str">
        <f>D19&amp;" (W2,11)"</f>
        <v>Manufacturing (ISIC 10-33) (W2,11)</v>
      </c>
      <c r="E61" s="524"/>
      <c r="F61" s="524"/>
      <c r="G61" s="524"/>
      <c r="H61" s="524"/>
      <c r="I61" s="524"/>
      <c r="J61" s="524"/>
      <c r="K61" s="524"/>
      <c r="L61" s="831"/>
      <c r="M61" s="832"/>
      <c r="N61" s="833"/>
      <c r="O61" s="524"/>
      <c r="P61" s="524"/>
      <c r="Q61" s="831"/>
      <c r="R61" s="832"/>
      <c r="S61" s="833"/>
      <c r="T61" s="524"/>
      <c r="U61" s="524"/>
      <c r="V61" s="524"/>
      <c r="W61" s="524"/>
      <c r="X61" s="524"/>
      <c r="Y61" s="524"/>
      <c r="Z61" s="526"/>
      <c r="AA61" s="837" t="str">
        <f>D36&amp;" (W2,27)"</f>
        <v>Manufacturing (ISIC 10-33) (W2,27)</v>
      </c>
      <c r="AB61" s="755"/>
      <c r="AC61" s="755"/>
      <c r="AD61" s="755"/>
      <c r="AE61" s="755"/>
      <c r="AF61" s="755"/>
      <c r="AG61" s="755"/>
      <c r="AH61" s="838"/>
      <c r="AI61" s="838"/>
      <c r="AJ61" s="839"/>
      <c r="AK61" s="542"/>
      <c r="AL61" s="542"/>
      <c r="AM61" s="542"/>
      <c r="AN61" s="524"/>
      <c r="AO61" s="524"/>
      <c r="AP61" s="524"/>
      <c r="AQ61" s="526"/>
      <c r="AR61" s="526"/>
      <c r="AS61" s="526"/>
      <c r="AT61" s="526"/>
      <c r="AU61" s="526"/>
      <c r="AV61" s="526"/>
      <c r="AW61" s="526"/>
      <c r="AY61" s="300"/>
      <c r="AZ61" s="299" t="s">
        <v>59</v>
      </c>
      <c r="BA61" s="298"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29"/>
      <c r="D62" s="534"/>
      <c r="E62" s="524"/>
      <c r="F62" s="524"/>
      <c r="G62" s="524"/>
      <c r="H62" s="524"/>
      <c r="I62" s="524"/>
      <c r="J62" s="524"/>
      <c r="K62" s="524"/>
      <c r="L62" s="831"/>
      <c r="M62" s="832"/>
      <c r="N62" s="833"/>
      <c r="O62" s="524"/>
      <c r="P62" s="524"/>
      <c r="Q62" s="831"/>
      <c r="R62" s="832"/>
      <c r="S62" s="833"/>
      <c r="T62" s="524"/>
      <c r="U62" s="524"/>
      <c r="V62" s="524"/>
      <c r="W62" s="524"/>
      <c r="X62" s="524"/>
      <c r="Y62" s="524"/>
      <c r="Z62" s="526"/>
      <c r="AA62" s="526"/>
      <c r="AB62" s="526"/>
      <c r="AC62" s="526"/>
      <c r="AD62" s="526"/>
      <c r="AE62" s="526"/>
      <c r="AF62" s="526"/>
      <c r="AG62" s="526"/>
      <c r="AH62" s="526"/>
      <c r="AI62" s="526"/>
      <c r="AJ62" s="526"/>
      <c r="AK62" s="542"/>
      <c r="AL62" s="542"/>
      <c r="AM62" s="542"/>
      <c r="AN62" s="524"/>
      <c r="AO62" s="524"/>
      <c r="AP62" s="524"/>
      <c r="AQ62" s="526"/>
      <c r="AR62" s="526"/>
      <c r="AS62" s="526"/>
      <c r="AT62" s="526"/>
      <c r="AU62" s="526"/>
      <c r="AV62" s="526"/>
      <c r="AW62" s="526"/>
      <c r="AY62" s="300"/>
      <c r="AZ62" s="297" t="s">
        <v>55</v>
      </c>
      <c r="BA62" s="298"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29"/>
      <c r="D63" s="522" t="str">
        <f>D20&amp;" (W2,12)"</f>
        <v>Electricity, gas, steam and air conditioning supply  (ISIC 35) (W2,12)</v>
      </c>
      <c r="E63" s="524"/>
      <c r="F63" s="524"/>
      <c r="G63" s="524"/>
      <c r="H63" s="524"/>
      <c r="I63" s="524"/>
      <c r="J63" s="524"/>
      <c r="K63" s="524"/>
      <c r="L63" s="840"/>
      <c r="M63" s="841"/>
      <c r="N63" s="842"/>
      <c r="O63" s="524"/>
      <c r="P63" s="524"/>
      <c r="Q63" s="840"/>
      <c r="R63" s="841"/>
      <c r="S63" s="842"/>
      <c r="T63" s="524"/>
      <c r="U63" s="524"/>
      <c r="V63" s="524"/>
      <c r="W63" s="524"/>
      <c r="X63" s="527"/>
      <c r="Y63" s="271"/>
      <c r="Z63" s="271"/>
      <c r="AA63" s="837" t="str">
        <f>D37&amp;" (W2,28)"</f>
        <v>Electricity, gas, steam and air conditioning supply  (ISIC 35) (W2,28)</v>
      </c>
      <c r="AB63" s="755"/>
      <c r="AC63" s="755"/>
      <c r="AD63" s="755"/>
      <c r="AE63" s="755"/>
      <c r="AF63" s="755"/>
      <c r="AG63" s="755"/>
      <c r="AH63" s="838"/>
      <c r="AI63" s="838"/>
      <c r="AJ63" s="839"/>
      <c r="AK63" s="526"/>
      <c r="AL63" s="526"/>
      <c r="AM63" s="526"/>
      <c r="AN63" s="524"/>
      <c r="AO63" s="524"/>
      <c r="AP63" s="524"/>
      <c r="AQ63" s="799"/>
      <c r="AR63" s="799"/>
      <c r="AS63" s="799"/>
      <c r="AT63" s="799"/>
      <c r="AU63" s="799"/>
      <c r="AV63" s="799"/>
      <c r="AW63" s="799"/>
      <c r="AY63" s="300"/>
      <c r="AZ63" s="297" t="s">
        <v>57</v>
      </c>
      <c r="BA63" s="298"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29"/>
      <c r="D64" s="534"/>
      <c r="E64" s="524"/>
      <c r="F64" s="828" t="str">
        <f>D26&amp;" - "&amp;D27&amp;"  =(W2,18) - (W2,19)"</f>
        <v>Imports of water - Exports of water  =(W2,18) - (W2,19)</v>
      </c>
      <c r="G64" s="829"/>
      <c r="H64" s="830"/>
      <c r="I64" s="524"/>
      <c r="J64" s="524"/>
      <c r="K64" s="524"/>
      <c r="L64" s="524"/>
      <c r="M64" s="524"/>
      <c r="N64" s="524"/>
      <c r="O64" s="524"/>
      <c r="P64" s="524"/>
      <c r="Q64" s="524"/>
      <c r="R64" s="524"/>
      <c r="S64" s="524"/>
      <c r="T64" s="524"/>
      <c r="U64" s="524"/>
      <c r="V64" s="524"/>
      <c r="W64" s="524"/>
      <c r="X64" s="527"/>
      <c r="Y64" s="271"/>
      <c r="Z64" s="594"/>
      <c r="AB64" s="799"/>
      <c r="AC64" s="799"/>
      <c r="AD64" s="799"/>
      <c r="AE64" s="799"/>
      <c r="AF64" s="799"/>
      <c r="AG64" s="799"/>
      <c r="AH64" s="799"/>
      <c r="AI64" s="799"/>
      <c r="AJ64" s="799"/>
      <c r="AK64" s="526"/>
      <c r="AL64" s="526"/>
      <c r="AM64" s="526"/>
      <c r="AN64" s="524"/>
      <c r="AO64" s="524"/>
      <c r="AP64" s="524"/>
      <c r="AQ64" s="526"/>
      <c r="AR64" s="526"/>
      <c r="AS64" s="526"/>
      <c r="AT64" s="526"/>
      <c r="AU64" s="526"/>
      <c r="AV64" s="526"/>
      <c r="AW64" s="526"/>
      <c r="AZ64" s="299" t="s">
        <v>60</v>
      </c>
      <c r="BA64" s="298"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9"/>
      <c r="D65" s="522" t="str">
        <f>D22&amp;" (W2,14)"</f>
        <v>Construction (ISIC 41-43) (W2,14)</v>
      </c>
      <c r="E65" s="524"/>
      <c r="F65" s="831"/>
      <c r="G65" s="832"/>
      <c r="H65" s="833"/>
      <c r="I65" s="524"/>
      <c r="J65" s="524"/>
      <c r="K65" s="524"/>
      <c r="L65" s="524"/>
      <c r="M65" s="524"/>
      <c r="N65" s="828" t="str">
        <f>D29&amp;" (W2,21)"</f>
        <v>Losses during transport (W2,21)</v>
      </c>
      <c r="O65" s="829"/>
      <c r="P65" s="830"/>
      <c r="Q65" s="524"/>
      <c r="R65" s="524"/>
      <c r="S65" s="524"/>
      <c r="T65" s="524"/>
      <c r="U65" s="524"/>
      <c r="V65" s="524"/>
      <c r="W65" s="524"/>
      <c r="X65" s="527"/>
      <c r="Y65" s="271"/>
      <c r="Z65" s="594"/>
      <c r="AA65" s="837" t="str">
        <f>D39&amp;" (W2,30)"</f>
        <v>Construction (ISIC 41-43) (W2,30)</v>
      </c>
      <c r="AB65" s="755"/>
      <c r="AC65" s="755"/>
      <c r="AD65" s="755"/>
      <c r="AE65" s="755"/>
      <c r="AF65" s="755"/>
      <c r="AG65" s="755"/>
      <c r="AH65" s="838"/>
      <c r="AI65" s="838"/>
      <c r="AJ65" s="839"/>
      <c r="AK65" s="271"/>
      <c r="AL65" s="271"/>
      <c r="AM65" s="526"/>
      <c r="AN65" s="524"/>
      <c r="AO65" s="524"/>
      <c r="AP65" s="524"/>
      <c r="AQ65" s="799"/>
      <c r="AR65" s="799"/>
      <c r="AS65" s="799"/>
      <c r="AT65" s="799"/>
      <c r="AU65" s="799"/>
      <c r="AV65" s="799"/>
      <c r="AW65" s="799"/>
      <c r="AZ65" s="299" t="s">
        <v>59</v>
      </c>
      <c r="BA65" s="298"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3:99" ht="12" customHeight="1">
      <c r="C66" s="529"/>
      <c r="D66" s="534"/>
      <c r="E66" s="524"/>
      <c r="F66" s="834"/>
      <c r="G66" s="835"/>
      <c r="H66" s="836"/>
      <c r="I66" s="524"/>
      <c r="J66" s="524"/>
      <c r="K66" s="524"/>
      <c r="L66" s="524"/>
      <c r="M66" s="524"/>
      <c r="N66" s="840"/>
      <c r="O66" s="841"/>
      <c r="P66" s="842"/>
      <c r="Q66" s="524"/>
      <c r="R66" s="524"/>
      <c r="S66" s="524"/>
      <c r="T66" s="524"/>
      <c r="U66" s="524"/>
      <c r="V66" s="524"/>
      <c r="W66" s="524"/>
      <c r="X66" s="527"/>
      <c r="Y66" s="542"/>
      <c r="Z66" s="594"/>
      <c r="AA66" s="594"/>
      <c r="AB66" s="594"/>
      <c r="AC66" s="524"/>
      <c r="AD66" s="524"/>
      <c r="AE66" s="526"/>
      <c r="AF66" s="526"/>
      <c r="AG66" s="526"/>
      <c r="AH66" s="271"/>
      <c r="AI66" s="271"/>
      <c r="AJ66" s="271"/>
      <c r="AK66" s="271"/>
      <c r="AL66" s="271"/>
      <c r="AM66" s="526"/>
      <c r="AN66" s="524"/>
      <c r="AO66" s="524"/>
      <c r="AP66" s="524"/>
      <c r="AQ66" s="524"/>
      <c r="AR66" s="524"/>
      <c r="AS66" s="524"/>
      <c r="AT66" s="524"/>
      <c r="AU66" s="524"/>
      <c r="AV66" s="524"/>
      <c r="AW66" s="524"/>
      <c r="AZ66" s="520"/>
      <c r="BA66" s="520"/>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21.75" customHeight="1">
      <c r="C67" s="529"/>
      <c r="D67" s="522" t="str">
        <f>D23&amp;" (W2,15)"</f>
        <v>Other economic activities (W2,15)</v>
      </c>
      <c r="E67" s="524"/>
      <c r="F67" s="524"/>
      <c r="G67" s="524"/>
      <c r="H67" s="524"/>
      <c r="I67" s="524"/>
      <c r="J67" s="524"/>
      <c r="K67" s="524"/>
      <c r="L67" s="524"/>
      <c r="M67" s="524"/>
      <c r="N67" s="524"/>
      <c r="O67" s="524"/>
      <c r="P67" s="524"/>
      <c r="Q67" s="524"/>
      <c r="R67" s="524"/>
      <c r="S67" s="524"/>
      <c r="T67" s="524"/>
      <c r="U67" s="524"/>
      <c r="V67" s="524"/>
      <c r="W67" s="524"/>
      <c r="X67" s="524"/>
      <c r="Y67" s="527"/>
      <c r="Z67" s="524"/>
      <c r="AA67" s="837" t="str">
        <f>D40&amp;" (W2,31)"</f>
        <v>Other economic activities (W2,31)</v>
      </c>
      <c r="AB67" s="755"/>
      <c r="AC67" s="755"/>
      <c r="AD67" s="755"/>
      <c r="AE67" s="755"/>
      <c r="AF67" s="755"/>
      <c r="AG67" s="755"/>
      <c r="AH67" s="838"/>
      <c r="AI67" s="838"/>
      <c r="AJ67" s="839"/>
      <c r="AK67" s="524"/>
      <c r="AL67" s="524"/>
      <c r="AM67" s="524"/>
      <c r="AN67" s="524"/>
      <c r="AO67" s="524"/>
      <c r="AP67" s="524"/>
      <c r="AQ67" s="524"/>
      <c r="AR67" s="524"/>
      <c r="AS67" s="524"/>
      <c r="AT67" s="524"/>
      <c r="AU67" s="524"/>
      <c r="AV67" s="524"/>
      <c r="AW67" s="524"/>
      <c r="AZ67" s="389"/>
      <c r="BA67" s="39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2:99" ht="22.5" customHeight="1">
      <c r="B68" s="163">
        <v>1</v>
      </c>
      <c r="C68" s="283" t="s">
        <v>298</v>
      </c>
      <c r="D68" s="376"/>
      <c r="E68" s="283"/>
      <c r="F68" s="195"/>
      <c r="G68" s="286"/>
      <c r="H68" s="287"/>
      <c r="I68" s="288"/>
      <c r="J68" s="287"/>
      <c r="K68" s="288"/>
      <c r="L68" s="287"/>
      <c r="M68" s="288"/>
      <c r="N68" s="287"/>
      <c r="O68" s="288"/>
      <c r="P68" s="287"/>
      <c r="Q68" s="288"/>
      <c r="R68" s="287"/>
      <c r="S68" s="288"/>
      <c r="T68" s="287"/>
      <c r="U68" s="288"/>
      <c r="V68" s="287"/>
      <c r="W68" s="286"/>
      <c r="X68" s="287"/>
      <c r="Y68" s="286"/>
      <c r="Z68" s="287"/>
      <c r="AA68" s="286"/>
      <c r="AB68" s="287"/>
      <c r="AC68" s="286"/>
      <c r="AD68" s="287"/>
      <c r="AE68" s="286"/>
      <c r="AF68" s="377"/>
      <c r="AG68" s="286"/>
      <c r="AH68" s="287"/>
      <c r="AI68" s="288"/>
      <c r="AJ68" s="287"/>
      <c r="AK68" s="286"/>
      <c r="AL68" s="287"/>
      <c r="AM68" s="286"/>
      <c r="AN68" s="287"/>
      <c r="AO68" s="338"/>
      <c r="AP68" s="338"/>
      <c r="AQ68" s="338"/>
      <c r="AR68" s="338"/>
      <c r="AS68" s="338"/>
      <c r="AT68" s="337"/>
      <c r="AU68" s="285"/>
      <c r="AV68" s="338"/>
      <c r="AW68" s="338"/>
      <c r="AZ68" s="389"/>
      <c r="BA68" s="39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9" customHeight="1">
      <c r="C69" s="517"/>
      <c r="D69" s="517"/>
      <c r="E69" s="518"/>
      <c r="F69" s="391"/>
      <c r="G69" s="318"/>
      <c r="H69" s="323"/>
      <c r="I69" s="396"/>
      <c r="J69" s="323"/>
      <c r="K69" s="396"/>
      <c r="L69" s="323"/>
      <c r="M69" s="396"/>
      <c r="N69" s="323"/>
      <c r="O69" s="396"/>
      <c r="P69" s="323"/>
      <c r="Q69" s="396"/>
      <c r="R69" s="323"/>
      <c r="S69" s="396"/>
      <c r="T69" s="323"/>
      <c r="U69" s="396"/>
      <c r="V69" s="323"/>
      <c r="W69" s="318"/>
      <c r="X69" s="323"/>
      <c r="Y69" s="318"/>
      <c r="Z69" s="323"/>
      <c r="AA69" s="318"/>
      <c r="AB69" s="323"/>
      <c r="AC69" s="318"/>
      <c r="AD69" s="323"/>
      <c r="AE69" s="318"/>
      <c r="AF69" s="519"/>
      <c r="AG69" s="318"/>
      <c r="AH69" s="323"/>
      <c r="AI69" s="396"/>
      <c r="AJ69" s="323"/>
      <c r="AK69" s="318"/>
      <c r="AL69" s="323"/>
      <c r="AM69" s="318"/>
      <c r="AN69" s="323"/>
      <c r="AZ69" s="389"/>
      <c r="BA69" s="39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294" t="s">
        <v>293</v>
      </c>
      <c r="D70" s="448" t="s">
        <v>296</v>
      </c>
      <c r="E70" s="381"/>
      <c r="F70" s="382"/>
      <c r="G70" s="383"/>
      <c r="H70" s="384"/>
      <c r="I70" s="385"/>
      <c r="J70" s="384"/>
      <c r="K70" s="385"/>
      <c r="L70" s="384"/>
      <c r="M70" s="385"/>
      <c r="N70" s="384"/>
      <c r="O70" s="385"/>
      <c r="P70" s="384"/>
      <c r="Q70" s="385"/>
      <c r="R70" s="384"/>
      <c r="S70" s="385"/>
      <c r="T70" s="384"/>
      <c r="U70" s="385"/>
      <c r="V70" s="384"/>
      <c r="W70" s="383"/>
      <c r="X70" s="384"/>
      <c r="Y70" s="383"/>
      <c r="Z70" s="384"/>
      <c r="AA70" s="383"/>
      <c r="AB70" s="384"/>
      <c r="AC70" s="383"/>
      <c r="AD70" s="384"/>
      <c r="AE70" s="383"/>
      <c r="AF70" s="386"/>
      <c r="AG70" s="383"/>
      <c r="AH70" s="384"/>
      <c r="AI70" s="385"/>
      <c r="AJ70" s="384"/>
      <c r="AK70" s="383"/>
      <c r="AL70" s="384"/>
      <c r="AM70" s="383"/>
      <c r="AN70" s="384"/>
      <c r="AO70" s="383"/>
      <c r="AP70" s="383"/>
      <c r="AQ70" s="383"/>
      <c r="AR70" s="383"/>
      <c r="AS70" s="383"/>
      <c r="AT70" s="384"/>
      <c r="AU70" s="387"/>
      <c r="AV70" s="383"/>
      <c r="AW70" s="383"/>
      <c r="AZ70" s="389"/>
      <c r="BA70" s="39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15"/>
      <c r="D71" s="795"/>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640"/>
      <c r="AZ71" s="389"/>
      <c r="BA71" s="39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15"/>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640"/>
      <c r="AZ72" s="389"/>
      <c r="BA72" s="39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5"/>
      <c r="D73" s="807"/>
      <c r="E73" s="808"/>
      <c r="F73" s="808"/>
      <c r="G73" s="808"/>
      <c r="H73" s="808"/>
      <c r="I73" s="808"/>
      <c r="J73" s="808"/>
      <c r="K73" s="808"/>
      <c r="L73" s="808"/>
      <c r="M73" s="808"/>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8"/>
      <c r="AK73" s="808"/>
      <c r="AL73" s="808"/>
      <c r="AM73" s="808"/>
      <c r="AN73" s="808"/>
      <c r="AO73" s="808"/>
      <c r="AP73" s="808"/>
      <c r="AQ73" s="808"/>
      <c r="AR73" s="808"/>
      <c r="AS73" s="808"/>
      <c r="AT73" s="808"/>
      <c r="AU73" s="808"/>
      <c r="AV73" s="808"/>
      <c r="AW73" s="808"/>
      <c r="AX73" s="640"/>
      <c r="AZ73" s="389"/>
      <c r="BA73" s="39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5"/>
      <c r="D74" s="807"/>
      <c r="E74" s="808"/>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808"/>
      <c r="AR74" s="808"/>
      <c r="AS74" s="808"/>
      <c r="AT74" s="808"/>
      <c r="AU74" s="808"/>
      <c r="AV74" s="808"/>
      <c r="AW74" s="808"/>
      <c r="AX74" s="640"/>
      <c r="AZ74" s="389"/>
      <c r="BA74" s="39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5"/>
      <c r="D75" s="807"/>
      <c r="E75" s="808"/>
      <c r="F75" s="808"/>
      <c r="G75" s="808"/>
      <c r="H75" s="808"/>
      <c r="I75" s="808"/>
      <c r="J75" s="808"/>
      <c r="K75" s="808"/>
      <c r="L75" s="808"/>
      <c r="M75" s="808"/>
      <c r="N75" s="808"/>
      <c r="O75" s="808"/>
      <c r="P75" s="808"/>
      <c r="Q75" s="808"/>
      <c r="R75" s="808"/>
      <c r="S75" s="808"/>
      <c r="T75" s="808"/>
      <c r="U75" s="808"/>
      <c r="V75" s="808"/>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640"/>
      <c r="AZ75" s="389"/>
      <c r="BA75" s="39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90"/>
    </row>
    <row r="76" spans="3:99" ht="18" customHeight="1">
      <c r="C76" s="515"/>
      <c r="D76" s="807"/>
      <c r="E76" s="808"/>
      <c r="F76" s="808"/>
      <c r="G76" s="808"/>
      <c r="H76" s="808"/>
      <c r="I76" s="808"/>
      <c r="J76" s="808"/>
      <c r="K76" s="808"/>
      <c r="L76" s="808"/>
      <c r="M76" s="808"/>
      <c r="N76" s="808"/>
      <c r="O76" s="808"/>
      <c r="P76" s="808"/>
      <c r="Q76" s="808"/>
      <c r="R76" s="808"/>
      <c r="S76" s="808"/>
      <c r="T76" s="808"/>
      <c r="U76" s="808"/>
      <c r="V76" s="808"/>
      <c r="W76" s="808"/>
      <c r="X76" s="808"/>
      <c r="Y76" s="808"/>
      <c r="Z76" s="808"/>
      <c r="AA76" s="808"/>
      <c r="AB76" s="808"/>
      <c r="AC76" s="808"/>
      <c r="AD76" s="808"/>
      <c r="AE76" s="808"/>
      <c r="AF76" s="808"/>
      <c r="AG76" s="808"/>
      <c r="AH76" s="808"/>
      <c r="AI76" s="808"/>
      <c r="AJ76" s="808"/>
      <c r="AK76" s="808"/>
      <c r="AL76" s="808"/>
      <c r="AM76" s="808"/>
      <c r="AN76" s="808"/>
      <c r="AO76" s="808"/>
      <c r="AP76" s="808"/>
      <c r="AQ76" s="808"/>
      <c r="AR76" s="808"/>
      <c r="AS76" s="808"/>
      <c r="AT76" s="808"/>
      <c r="AU76" s="808"/>
      <c r="AV76" s="808"/>
      <c r="AW76" s="808"/>
      <c r="AX76" s="640"/>
      <c r="AZ76" s="389"/>
      <c r="BA76" s="39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90"/>
    </row>
    <row r="77" spans="3:99" ht="18" customHeight="1">
      <c r="C77" s="515"/>
      <c r="D77" s="807"/>
      <c r="E77" s="808"/>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808"/>
      <c r="AR77" s="808"/>
      <c r="AS77" s="808"/>
      <c r="AT77" s="808"/>
      <c r="AU77" s="808"/>
      <c r="AV77" s="808"/>
      <c r="AW77" s="808"/>
      <c r="AX77" s="640"/>
      <c r="CU77" s="290"/>
    </row>
    <row r="78" spans="3:99" ht="18" customHeight="1">
      <c r="C78" s="515"/>
      <c r="D78" s="807"/>
      <c r="E78" s="808"/>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808"/>
      <c r="AR78" s="808"/>
      <c r="AS78" s="808"/>
      <c r="AT78" s="808"/>
      <c r="AU78" s="808"/>
      <c r="AV78" s="808"/>
      <c r="AW78" s="808"/>
      <c r="AX78" s="640"/>
      <c r="CU78" s="290"/>
    </row>
    <row r="79" spans="3:99" ht="18" customHeight="1">
      <c r="C79" s="515"/>
      <c r="D79" s="807"/>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808"/>
      <c r="AR79" s="808"/>
      <c r="AS79" s="808"/>
      <c r="AT79" s="808"/>
      <c r="AU79" s="808"/>
      <c r="AV79" s="808"/>
      <c r="AW79" s="808"/>
      <c r="AX79" s="640"/>
      <c r="CU79" s="290"/>
    </row>
    <row r="80" spans="3:99" ht="18" customHeight="1">
      <c r="C80" s="515"/>
      <c r="D80" s="807"/>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640"/>
      <c r="CU80" s="290"/>
    </row>
    <row r="81" spans="3:99" ht="18" customHeight="1">
      <c r="C81" s="515"/>
      <c r="D81" s="807"/>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808"/>
      <c r="AP81" s="808"/>
      <c r="AQ81" s="808"/>
      <c r="AR81" s="808"/>
      <c r="AS81" s="808"/>
      <c r="AT81" s="808"/>
      <c r="AU81" s="808"/>
      <c r="AV81" s="808"/>
      <c r="AW81" s="808"/>
      <c r="AX81" s="640"/>
      <c r="CU81" s="290"/>
    </row>
    <row r="82" spans="3:99" ht="18" customHeight="1">
      <c r="C82" s="515"/>
      <c r="D82" s="807"/>
      <c r="E82" s="808"/>
      <c r="F82" s="808"/>
      <c r="G82" s="808"/>
      <c r="H82" s="808"/>
      <c r="I82" s="808"/>
      <c r="J82" s="808"/>
      <c r="K82" s="808"/>
      <c r="L82" s="808"/>
      <c r="M82" s="808"/>
      <c r="N82" s="808"/>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c r="AN82" s="808"/>
      <c r="AO82" s="808"/>
      <c r="AP82" s="808"/>
      <c r="AQ82" s="808"/>
      <c r="AR82" s="808"/>
      <c r="AS82" s="808"/>
      <c r="AT82" s="808"/>
      <c r="AU82" s="808"/>
      <c r="AV82" s="808"/>
      <c r="AW82" s="808"/>
      <c r="AX82" s="640"/>
      <c r="CU82" s="290"/>
    </row>
    <row r="83" spans="3:99" ht="18" customHeight="1">
      <c r="C83" s="515"/>
      <c r="D83" s="807"/>
      <c r="E83" s="808"/>
      <c r="F83" s="808"/>
      <c r="G83" s="808"/>
      <c r="H83" s="808"/>
      <c r="I83" s="808"/>
      <c r="J83" s="808"/>
      <c r="K83" s="808"/>
      <c r="L83" s="808"/>
      <c r="M83" s="808"/>
      <c r="N83" s="808"/>
      <c r="O83" s="808"/>
      <c r="P83" s="808"/>
      <c r="Q83" s="808"/>
      <c r="R83" s="808"/>
      <c r="S83" s="808"/>
      <c r="T83" s="808"/>
      <c r="U83" s="808"/>
      <c r="V83" s="808"/>
      <c r="W83" s="808"/>
      <c r="X83" s="808"/>
      <c r="Y83" s="808"/>
      <c r="Z83" s="808"/>
      <c r="AA83" s="808"/>
      <c r="AB83" s="808"/>
      <c r="AC83" s="808"/>
      <c r="AD83" s="808"/>
      <c r="AE83" s="808"/>
      <c r="AF83" s="808"/>
      <c r="AG83" s="808"/>
      <c r="AH83" s="808"/>
      <c r="AI83" s="808"/>
      <c r="AJ83" s="808"/>
      <c r="AK83" s="808"/>
      <c r="AL83" s="808"/>
      <c r="AM83" s="808"/>
      <c r="AN83" s="808"/>
      <c r="AO83" s="808"/>
      <c r="AP83" s="808"/>
      <c r="AQ83" s="808"/>
      <c r="AR83" s="808"/>
      <c r="AS83" s="808"/>
      <c r="AT83" s="808"/>
      <c r="AU83" s="808"/>
      <c r="AV83" s="808"/>
      <c r="AW83" s="808"/>
      <c r="AX83" s="640"/>
      <c r="CU83" s="290"/>
    </row>
    <row r="84" spans="2:99" ht="18" customHeight="1">
      <c r="B84" s="394"/>
      <c r="C84" s="515"/>
      <c r="D84" s="807"/>
      <c r="E84" s="808"/>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8"/>
      <c r="AR84" s="808"/>
      <c r="AS84" s="808"/>
      <c r="AT84" s="808"/>
      <c r="AU84" s="808"/>
      <c r="AV84" s="808"/>
      <c r="AW84" s="808"/>
      <c r="AX84" s="640"/>
      <c r="CU84" s="290"/>
    </row>
    <row r="85" spans="3:99" ht="18" customHeight="1">
      <c r="C85" s="515"/>
      <c r="D85" s="807"/>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8"/>
      <c r="AL85" s="808"/>
      <c r="AM85" s="808"/>
      <c r="AN85" s="808"/>
      <c r="AO85" s="808"/>
      <c r="AP85" s="808"/>
      <c r="AQ85" s="808"/>
      <c r="AR85" s="808"/>
      <c r="AS85" s="808"/>
      <c r="AT85" s="808"/>
      <c r="AU85" s="808"/>
      <c r="AV85" s="808"/>
      <c r="AW85" s="808"/>
      <c r="AX85" s="640"/>
      <c r="CU85" s="290"/>
    </row>
    <row r="86" spans="3:99" ht="18" customHeight="1">
      <c r="C86" s="515"/>
      <c r="D86" s="807"/>
      <c r="E86" s="808"/>
      <c r="F86" s="808"/>
      <c r="G86" s="808"/>
      <c r="H86" s="808"/>
      <c r="I86" s="808"/>
      <c r="J86" s="808"/>
      <c r="K86" s="808"/>
      <c r="L86" s="808"/>
      <c r="M86" s="808"/>
      <c r="N86" s="808"/>
      <c r="O86" s="808"/>
      <c r="P86" s="808"/>
      <c r="Q86" s="808"/>
      <c r="R86" s="808"/>
      <c r="S86" s="808"/>
      <c r="T86" s="808"/>
      <c r="U86" s="808"/>
      <c r="V86" s="808"/>
      <c r="W86" s="808"/>
      <c r="X86" s="808"/>
      <c r="Y86" s="808"/>
      <c r="Z86" s="808"/>
      <c r="AA86" s="808"/>
      <c r="AB86" s="808"/>
      <c r="AC86" s="808"/>
      <c r="AD86" s="808"/>
      <c r="AE86" s="808"/>
      <c r="AF86" s="808"/>
      <c r="AG86" s="808"/>
      <c r="AH86" s="808"/>
      <c r="AI86" s="808"/>
      <c r="AJ86" s="808"/>
      <c r="AK86" s="808"/>
      <c r="AL86" s="808"/>
      <c r="AM86" s="808"/>
      <c r="AN86" s="808"/>
      <c r="AO86" s="808"/>
      <c r="AP86" s="808"/>
      <c r="AQ86" s="808"/>
      <c r="AR86" s="808"/>
      <c r="AS86" s="808"/>
      <c r="AT86" s="808"/>
      <c r="AU86" s="808"/>
      <c r="AV86" s="808"/>
      <c r="AW86" s="808"/>
      <c r="AX86" s="640"/>
      <c r="CU86" s="290"/>
    </row>
    <row r="87" spans="3:99" ht="18" customHeight="1">
      <c r="C87" s="515"/>
      <c r="D87" s="807"/>
      <c r="E87" s="808"/>
      <c r="F87" s="808"/>
      <c r="G87" s="808"/>
      <c r="H87" s="808"/>
      <c r="I87" s="808"/>
      <c r="J87" s="808"/>
      <c r="K87" s="808"/>
      <c r="L87" s="808"/>
      <c r="M87" s="808"/>
      <c r="N87" s="808"/>
      <c r="O87" s="808"/>
      <c r="P87" s="808"/>
      <c r="Q87" s="808"/>
      <c r="R87" s="808"/>
      <c r="S87" s="808"/>
      <c r="T87" s="808"/>
      <c r="U87" s="808"/>
      <c r="V87" s="808"/>
      <c r="W87" s="808"/>
      <c r="X87" s="808"/>
      <c r="Y87" s="808"/>
      <c r="Z87" s="808"/>
      <c r="AA87" s="808"/>
      <c r="AB87" s="808"/>
      <c r="AC87" s="808"/>
      <c r="AD87" s="808"/>
      <c r="AE87" s="808"/>
      <c r="AF87" s="808"/>
      <c r="AG87" s="808"/>
      <c r="AH87" s="808"/>
      <c r="AI87" s="808"/>
      <c r="AJ87" s="808"/>
      <c r="AK87" s="808"/>
      <c r="AL87" s="808"/>
      <c r="AM87" s="808"/>
      <c r="AN87" s="808"/>
      <c r="AO87" s="808"/>
      <c r="AP87" s="808"/>
      <c r="AQ87" s="808"/>
      <c r="AR87" s="808"/>
      <c r="AS87" s="808"/>
      <c r="AT87" s="808"/>
      <c r="AU87" s="808"/>
      <c r="AV87" s="808"/>
      <c r="AW87" s="808"/>
      <c r="AX87" s="640"/>
      <c r="CU87" s="290"/>
    </row>
    <row r="88" spans="3:50" ht="18" customHeight="1">
      <c r="C88" s="515"/>
      <c r="D88" s="807"/>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640"/>
    </row>
    <row r="89" spans="3:50" ht="18" customHeight="1">
      <c r="C89" s="515"/>
      <c r="D89" s="807"/>
      <c r="E89" s="808"/>
      <c r="F89" s="808"/>
      <c r="G89" s="808"/>
      <c r="H89" s="808"/>
      <c r="I89" s="808"/>
      <c r="J89" s="808"/>
      <c r="K89" s="808"/>
      <c r="L89" s="808"/>
      <c r="M89" s="808"/>
      <c r="N89" s="808"/>
      <c r="O89" s="808"/>
      <c r="P89" s="808"/>
      <c r="Q89" s="808"/>
      <c r="R89" s="808"/>
      <c r="S89" s="808"/>
      <c r="T89" s="808"/>
      <c r="U89" s="808"/>
      <c r="V89" s="808"/>
      <c r="W89" s="808"/>
      <c r="X89" s="808"/>
      <c r="Y89" s="808"/>
      <c r="Z89" s="808"/>
      <c r="AA89" s="808"/>
      <c r="AB89" s="808"/>
      <c r="AC89" s="808"/>
      <c r="AD89" s="808"/>
      <c r="AE89" s="808"/>
      <c r="AF89" s="808"/>
      <c r="AG89" s="808"/>
      <c r="AH89" s="808"/>
      <c r="AI89" s="808"/>
      <c r="AJ89" s="808"/>
      <c r="AK89" s="808"/>
      <c r="AL89" s="808"/>
      <c r="AM89" s="808"/>
      <c r="AN89" s="808"/>
      <c r="AO89" s="808"/>
      <c r="AP89" s="808"/>
      <c r="AQ89" s="808"/>
      <c r="AR89" s="808"/>
      <c r="AS89" s="808"/>
      <c r="AT89" s="808"/>
      <c r="AU89" s="808"/>
      <c r="AV89" s="808"/>
      <c r="AW89" s="808"/>
      <c r="AX89" s="640"/>
    </row>
    <row r="90" spans="2:98" ht="18" customHeight="1">
      <c r="B90" s="521"/>
      <c r="C90" s="515"/>
      <c r="D90" s="807"/>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640"/>
      <c r="AZ90" s="395"/>
      <c r="BA90" s="395"/>
      <c r="BB90" s="395"/>
      <c r="BC90" s="395"/>
      <c r="BD90" s="395"/>
      <c r="BE90" s="395"/>
      <c r="BF90" s="395"/>
      <c r="BG90" s="395"/>
      <c r="BH90" s="395"/>
      <c r="BI90" s="395"/>
      <c r="BJ90" s="395"/>
      <c r="BK90" s="395"/>
      <c r="BL90" s="395"/>
      <c r="BM90" s="395"/>
      <c r="BN90" s="395"/>
      <c r="BO90" s="395"/>
      <c r="BP90" s="395"/>
      <c r="BQ90" s="395"/>
      <c r="BR90" s="395"/>
      <c r="BS90" s="395"/>
      <c r="BT90" s="395"/>
      <c r="BU90" s="395"/>
      <c r="BV90" s="395"/>
      <c r="BW90" s="395"/>
      <c r="BX90" s="395"/>
      <c r="BY90" s="395"/>
      <c r="BZ90" s="395"/>
      <c r="CA90" s="395"/>
      <c r="CB90" s="395"/>
      <c r="CC90" s="395"/>
      <c r="CD90" s="395"/>
      <c r="CE90" s="395"/>
      <c r="CF90" s="395"/>
      <c r="CG90" s="395"/>
      <c r="CH90" s="395"/>
      <c r="CI90" s="395"/>
      <c r="CJ90" s="395"/>
      <c r="CK90" s="395"/>
      <c r="CL90" s="395"/>
      <c r="CM90" s="395"/>
      <c r="CN90" s="395"/>
      <c r="CO90" s="395"/>
      <c r="CP90" s="395"/>
      <c r="CQ90" s="395"/>
      <c r="CR90" s="395"/>
      <c r="CS90" s="395"/>
      <c r="CT90" s="395"/>
    </row>
    <row r="91" spans="3:98" ht="18" customHeight="1">
      <c r="C91" s="515"/>
      <c r="D91" s="807"/>
      <c r="E91" s="808"/>
      <c r="F91" s="808"/>
      <c r="G91" s="808"/>
      <c r="H91" s="808"/>
      <c r="I91" s="808"/>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640"/>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5"/>
      <c r="CB91" s="395"/>
      <c r="CC91" s="395"/>
      <c r="CD91" s="395"/>
      <c r="CE91" s="395"/>
      <c r="CF91" s="395"/>
      <c r="CG91" s="395"/>
      <c r="CH91" s="395"/>
      <c r="CI91" s="395"/>
      <c r="CJ91" s="395"/>
      <c r="CK91" s="395"/>
      <c r="CL91" s="395"/>
      <c r="CM91" s="395"/>
      <c r="CN91" s="395"/>
      <c r="CO91" s="395"/>
      <c r="CP91" s="395"/>
      <c r="CQ91" s="395"/>
      <c r="CR91" s="395"/>
      <c r="CS91" s="395"/>
      <c r="CT91" s="395"/>
    </row>
    <row r="92" spans="1:98" s="290" customFormat="1" ht="20.25" customHeight="1">
      <c r="A92" s="194"/>
      <c r="B92" s="163"/>
      <c r="C92" s="641"/>
      <c r="D92" s="634"/>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40"/>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5"/>
      <c r="CR92" s="395"/>
      <c r="CS92" s="395"/>
      <c r="CT92" s="395"/>
    </row>
    <row r="93" spans="1:98" s="290" customFormat="1" ht="15" customHeight="1">
      <c r="A93" s="194"/>
      <c r="B93" s="163"/>
      <c r="C93" s="551"/>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5"/>
      <c r="CR93" s="395"/>
      <c r="CS93" s="395"/>
      <c r="CT93" s="395"/>
    </row>
    <row r="94" spans="1:98" s="290" customFormat="1" ht="10.5" customHeight="1">
      <c r="A94" s="194"/>
      <c r="B94" s="163"/>
      <c r="C94" s="551"/>
      <c r="D94" s="537"/>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5"/>
      <c r="AY94" s="395"/>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row>
    <row r="95" spans="3:50" ht="16.5" customHeight="1">
      <c r="C95" s="375"/>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78"/>
    </row>
    <row r="96" spans="3:50" ht="24" customHeight="1">
      <c r="C96" s="3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91"/>
      <c r="D100" s="391"/>
      <c r="E100" s="391"/>
      <c r="F100" s="391"/>
      <c r="G100" s="318"/>
      <c r="H100" s="323"/>
      <c r="I100" s="396"/>
      <c r="J100" s="323"/>
      <c r="K100" s="396"/>
      <c r="L100" s="323"/>
      <c r="M100" s="396"/>
      <c r="N100" s="323"/>
      <c r="O100" s="396"/>
      <c r="P100" s="323"/>
      <c r="Q100" s="396"/>
      <c r="R100" s="323"/>
      <c r="S100" s="396"/>
      <c r="T100" s="323"/>
      <c r="U100" s="396"/>
      <c r="V100" s="323"/>
      <c r="W100" s="318"/>
      <c r="X100" s="323"/>
      <c r="Y100" s="318"/>
      <c r="Z100" s="323"/>
      <c r="AA100" s="318"/>
      <c r="AB100" s="323"/>
      <c r="AC100" s="318"/>
      <c r="AD100" s="323"/>
      <c r="AE100" s="318"/>
      <c r="AF100" s="323"/>
      <c r="AG100" s="318"/>
      <c r="AH100" s="323"/>
      <c r="AI100" s="396"/>
      <c r="AJ100" s="323"/>
      <c r="AK100" s="318"/>
      <c r="AL100" s="323"/>
      <c r="AM100" s="318"/>
    </row>
    <row r="101" ht="24" customHeight="1"/>
    <row r="103" ht="26.25" customHeight="1"/>
    <row r="105" ht="27.75" customHeight="1"/>
    <row r="107" ht="19.5" customHeight="1"/>
    <row r="109" ht="16.5" customHeight="1"/>
    <row r="110" spans="1:2" ht="12.75">
      <c r="A110" s="397"/>
      <c r="B110" s="398"/>
    </row>
    <row r="111" spans="1:2" ht="12.75">
      <c r="A111" s="397"/>
      <c r="B111" s="398"/>
    </row>
    <row r="112" spans="1:2" ht="12.75">
      <c r="A112" s="397"/>
      <c r="B112" s="398"/>
    </row>
  </sheetData>
  <sheetProtection formatCells="0" formatColumns="0" formatRows="0" insertColumns="0"/>
  <mergeCells count="55">
    <mergeCell ref="D88:AW88"/>
    <mergeCell ref="D89:AW89"/>
    <mergeCell ref="D90:AW90"/>
    <mergeCell ref="D91:AW91"/>
    <mergeCell ref="D82:AW82"/>
    <mergeCell ref="D83:AW83"/>
    <mergeCell ref="D84:AW84"/>
    <mergeCell ref="D85:AW85"/>
    <mergeCell ref="D86:AW86"/>
    <mergeCell ref="D87:AW87"/>
    <mergeCell ref="D76:AW76"/>
    <mergeCell ref="D77:AW77"/>
    <mergeCell ref="D78:AW78"/>
    <mergeCell ref="D79:AW79"/>
    <mergeCell ref="D80:AW80"/>
    <mergeCell ref="D81:AW81"/>
    <mergeCell ref="D71:AW71"/>
    <mergeCell ref="D72:AW72"/>
    <mergeCell ref="D73:AW73"/>
    <mergeCell ref="D74:AW74"/>
    <mergeCell ref="D75:AW75"/>
    <mergeCell ref="L55:N63"/>
    <mergeCell ref="AA59:AJ59"/>
    <mergeCell ref="AA65:AJ65"/>
    <mergeCell ref="AQ63:AW63"/>
    <mergeCell ref="AN55:AO56"/>
    <mergeCell ref="Q55:S63"/>
    <mergeCell ref="AA55:AJ55"/>
    <mergeCell ref="AQ54:AW55"/>
    <mergeCell ref="AQ65:AW65"/>
    <mergeCell ref="AA57:AJ57"/>
    <mergeCell ref="AB64:AJ64"/>
    <mergeCell ref="AA63:AJ63"/>
    <mergeCell ref="AA61:AJ61"/>
    <mergeCell ref="U54:V55"/>
    <mergeCell ref="F64:H66"/>
    <mergeCell ref="D46:AX46"/>
    <mergeCell ref="AQ57:AW57"/>
    <mergeCell ref="AA67:AJ67"/>
    <mergeCell ref="AQ52:AW52"/>
    <mergeCell ref="N65:P66"/>
    <mergeCell ref="AQ51:AW51"/>
    <mergeCell ref="F53:H54"/>
    <mergeCell ref="F57:H57"/>
    <mergeCell ref="AK53:AM58"/>
    <mergeCell ref="E51:H51"/>
    <mergeCell ref="L50:P50"/>
    <mergeCell ref="C5:AM5"/>
    <mergeCell ref="D47:AX47"/>
    <mergeCell ref="D48:AX48"/>
    <mergeCell ref="D42:AX42"/>
    <mergeCell ref="D43:AX43"/>
    <mergeCell ref="F49:L49"/>
    <mergeCell ref="D45:AW45"/>
    <mergeCell ref="D44:AW44"/>
  </mergeCells>
  <conditionalFormatting sqref="AX30:AY30">
    <cfRule type="cellIs" priority="555" dxfId="335" operator="lessThan" stopIfTrue="1">
      <formula>AX28-AX29-(0.01*(AX28-AX29))</formula>
    </cfRule>
  </conditionalFormatting>
  <conditionalFormatting sqref="F10:F11 H10:H11">
    <cfRule type="cellIs" priority="196" dxfId="335" operator="lessThan" stopIfTrue="1">
      <formula>F8+F9-(0.01*(F8+F9))</formula>
    </cfRule>
  </conditionalFormatting>
  <conditionalFormatting sqref="F30">
    <cfRule type="cellIs" priority="171" dxfId="335" operator="lessThan" stopIfTrue="1">
      <formula>0.99*(F28-F29)</formula>
    </cfRule>
  </conditionalFormatting>
  <conditionalFormatting sqref="F28">
    <cfRule type="cellIs" priority="172" dxfId="335" operator="lessThan" stopIfTrue="1">
      <formula>F12+F24+F25+F26-F27-(0.01*(F10+F24+F25+F26-F27))</formula>
    </cfRule>
  </conditionalFormatting>
  <conditionalFormatting sqref="H30">
    <cfRule type="cellIs" priority="169" dxfId="335" operator="lessThan" stopIfTrue="1">
      <formula>0.99*(H28-H29)</formula>
    </cfRule>
  </conditionalFormatting>
  <conditionalFormatting sqref="H28">
    <cfRule type="cellIs" priority="170" dxfId="335" operator="lessThan" stopIfTrue="1">
      <formula>0.99*(H12+H24+H25+H26-H27)</formula>
    </cfRule>
  </conditionalFormatting>
  <conditionalFormatting sqref="BC29">
    <cfRule type="cellIs" priority="112" dxfId="335" operator="lessThan" stopIfTrue="1">
      <formula>#REF!+#REF!</formula>
    </cfRule>
    <cfRule type="cellIs" priority="113" dxfId="335" operator="lessThan" stopIfTrue="1">
      <formula>#REF!+BC32+BC33+BC34+BC36+#REF!</formula>
    </cfRule>
  </conditionalFormatting>
  <conditionalFormatting sqref="BC8">
    <cfRule type="cellIs" priority="118" dxfId="335" operator="lessThan" stopIfTrue="1">
      <formula>#REF!+#REF!</formula>
    </cfRule>
    <cfRule type="cellIs" priority="119" dxfId="335" operator="lessThan" stopIfTrue="1">
      <formula>BC10+BC13+BC14+BC15+BC16+BC19</formula>
    </cfRule>
  </conditionalFormatting>
  <conditionalFormatting sqref="BC38:BC39">
    <cfRule type="cellIs" priority="124" dxfId="335" operator="lessThan" stopIfTrue="1">
      <formula>#REF!+BC49</formula>
    </cfRule>
    <cfRule type="cellIs" priority="125" dxfId="335" operator="lessThan" stopIfTrue="1">
      <formula>#REF!+#REF!+#REF!+#REF!+#REF!+#REF!</formula>
    </cfRule>
  </conditionalFormatting>
  <conditionalFormatting sqref="BC40">
    <cfRule type="cellIs" priority="126" dxfId="335" operator="lessThan" stopIfTrue="1">
      <formula>#REF!+BC51</formula>
    </cfRule>
    <cfRule type="cellIs" priority="127" dxfId="335" operator="lessThan" stopIfTrue="1">
      <formula>#REF!+#REF!+#REF!+#REF!+#REF!+#REF!</formula>
    </cfRule>
  </conditionalFormatting>
  <conditionalFormatting sqref="BC57:CL57 BC48:CL48 CN48 CN57 CP57 CP48 CR48 CR57 CT57 CT48 BC54:CT54 BC51:CT51">
    <cfRule type="cellIs" priority="128" dxfId="335" operator="equal" stopIfTrue="1">
      <formula>"&lt;&gt;"</formula>
    </cfRule>
  </conditionalFormatting>
  <conditionalFormatting sqref="BG8:CS40">
    <cfRule type="cellIs" priority="129" dxfId="335" operator="equal" stopIfTrue="1">
      <formula>"&gt; 25%"</formula>
    </cfRule>
  </conditionalFormatting>
  <conditionalFormatting sqref="BE8:BE40">
    <cfRule type="cellIs" priority="130" dxfId="335" operator="equal" stopIfTrue="1">
      <formula>"&gt; 100%"</formula>
    </cfRule>
  </conditionalFormatting>
  <conditionalFormatting sqref="BC33">
    <cfRule type="cellIs" priority="131" dxfId="335" operator="lessThan" stopIfTrue="1">
      <formula>#REF!+#REF!</formula>
    </cfRule>
    <cfRule type="cellIs" priority="132" dxfId="335" operator="lessThan" stopIfTrue="1">
      <formula>BC36+#REF!+#REF!+#REF!+#REF!+#REF!</formula>
    </cfRule>
  </conditionalFormatting>
  <conditionalFormatting sqref="BC32">
    <cfRule type="cellIs" priority="133" dxfId="335" operator="lessThan" stopIfTrue="1">
      <formula>#REF!+#REF!</formula>
    </cfRule>
    <cfRule type="cellIs" priority="134" dxfId="335" operator="lessThan" stopIfTrue="1">
      <formula>BC34+BC36+#REF!+#REF!+#REF!+#REF!</formula>
    </cfRule>
  </conditionalFormatting>
  <conditionalFormatting sqref="BC34:BC35">
    <cfRule type="cellIs" priority="135" dxfId="335" operator="lessThan" stopIfTrue="1">
      <formula>#REF!+#REF!</formula>
    </cfRule>
    <cfRule type="cellIs" priority="136" dxfId="335" operator="lessThan" stopIfTrue="1">
      <formula>#REF!+#REF!+#REF!+#REF!+#REF!+#REF!</formula>
    </cfRule>
  </conditionalFormatting>
  <conditionalFormatting sqref="BC36:BC37">
    <cfRule type="cellIs" priority="137" dxfId="335" operator="lessThan" stopIfTrue="1">
      <formula>#REF!+BC48</formula>
    </cfRule>
    <cfRule type="cellIs" priority="138" dxfId="335" operator="lessThan" stopIfTrue="1">
      <formula>BC40+#REF!+#REF!+#REF!+#REF!+#REF!</formula>
    </cfRule>
  </conditionalFormatting>
  <conditionalFormatting sqref="BC27">
    <cfRule type="cellIs" priority="139" dxfId="335" operator="lessThan" stopIfTrue="1">
      <formula>BC47+#REF!</formula>
    </cfRule>
    <cfRule type="cellIs" priority="140" dxfId="335" operator="lessThan" stopIfTrue="1">
      <formula>#REF!+#REF!+#REF!+#REF!+#REF!+BC42</formula>
    </cfRule>
  </conditionalFormatting>
  <conditionalFormatting sqref="BC28">
    <cfRule type="cellIs" priority="141" dxfId="335" operator="lessThan" stopIfTrue="1">
      <formula>BC48+#REF!</formula>
    </cfRule>
    <cfRule type="cellIs" priority="142" dxfId="335" operator="lessThan" stopIfTrue="1">
      <formula>#REF!+#REF!+#REF!+#REF!+BC42+BC46</formula>
    </cfRule>
  </conditionalFormatting>
  <conditionalFormatting sqref="BC26">
    <cfRule type="cellIs" priority="143" dxfId="335" operator="lessThan" stopIfTrue="1">
      <formula>BC46+#REF!</formula>
    </cfRule>
    <cfRule type="cellIs" priority="144" dxfId="335" operator="lessThan" stopIfTrue="1">
      <formula>BC28+#REF!+#REF!+#REF!+#REF!+#REF!</formula>
    </cfRule>
  </conditionalFormatting>
  <conditionalFormatting sqref="BC9">
    <cfRule type="cellIs" priority="147" dxfId="335" operator="lessThan" stopIfTrue="1">
      <formula>#REF!+#REF!</formula>
    </cfRule>
    <cfRule type="cellIs" priority="148" dxfId="335" operator="lessThan" stopIfTrue="1">
      <formula>#REF!+BC14+BC15+BC16+BC19+#REF!</formula>
    </cfRule>
  </conditionalFormatting>
  <conditionalFormatting sqref="BC13">
    <cfRule type="cellIs" priority="151" dxfId="335" operator="lessThan" stopIfTrue="1">
      <formula>#REF!+#REF!</formula>
    </cfRule>
    <cfRule type="cellIs" priority="152" dxfId="335" operator="lessThan" stopIfTrue="1">
      <formula>BC15+BC16+BC19+#REF!+#REF!+#REF!</formula>
    </cfRule>
  </conditionalFormatting>
  <conditionalFormatting sqref="BC30">
    <cfRule type="cellIs" priority="155" dxfId="335" operator="lessThan" stopIfTrue="1">
      <formula>#REF!+#REF!</formula>
    </cfRule>
    <cfRule type="cellIs" priority="156" dxfId="335" operator="lessThan" stopIfTrue="1">
      <formula>BC32+BC33+BC34+BC36+#REF!+#REF!</formula>
    </cfRule>
  </conditionalFormatting>
  <conditionalFormatting sqref="BC31">
    <cfRule type="cellIs" priority="157" dxfId="335" operator="lessThan" stopIfTrue="1">
      <formula>#REF!+#REF!</formula>
    </cfRule>
    <cfRule type="cellIs" priority="158" dxfId="335" operator="lessThan" stopIfTrue="1">
      <formula>BC33+BC34+BC36+#REF!+#REF!+#REF!</formula>
    </cfRule>
  </conditionalFormatting>
  <conditionalFormatting sqref="BC18">
    <cfRule type="cellIs" priority="159" dxfId="335" operator="lessThan" stopIfTrue="1">
      <formula>BC41+#REF!</formula>
    </cfRule>
    <cfRule type="cellIs" priority="160" dxfId="335" operator="lessThan" stopIfTrue="1">
      <formula>#REF!+#REF!+#REF!+#REF!+#REF!+BC36</formula>
    </cfRule>
  </conditionalFormatting>
  <conditionalFormatting sqref="BC16">
    <cfRule type="cellIs" priority="161" dxfId="335" operator="lessThan" stopIfTrue="1">
      <formula>BC38+#REF!</formula>
    </cfRule>
    <cfRule type="cellIs" priority="162" dxfId="335" operator="lessThan" stopIfTrue="1">
      <formula>#REF!+#REF!+#REF!+#REF!+#REF!+BC33</formula>
    </cfRule>
  </conditionalFormatting>
  <conditionalFormatting sqref="BC19">
    <cfRule type="cellIs" priority="163" dxfId="335" operator="lessThan" stopIfTrue="1">
      <formula>BC40+#REF!</formula>
    </cfRule>
    <cfRule type="cellIs" priority="164" dxfId="335" operator="lessThan" stopIfTrue="1">
      <formula>#REF!+#REF!+#REF!+#REF!+BC33+BC36</formula>
    </cfRule>
  </conditionalFormatting>
  <conditionalFormatting sqref="BC20">
    <cfRule type="cellIs" priority="165" dxfId="335" operator="lessThan" stopIfTrue="1">
      <formula>BC41+#REF!</formula>
    </cfRule>
    <cfRule type="cellIs" priority="166" dxfId="335" operator="lessThan" stopIfTrue="1">
      <formula>#REF!+#REF!+#REF!+#REF!+BC34+BC38</formula>
    </cfRule>
  </conditionalFormatting>
  <conditionalFormatting sqref="BC17">
    <cfRule type="cellIs" priority="167" dxfId="335" operator="lessThan" stopIfTrue="1">
      <formula>BC40+#REF!</formula>
    </cfRule>
    <cfRule type="cellIs" priority="168" dxfId="335" operator="lessThan" stopIfTrue="1">
      <formula>#REF!+#REF!+#REF!+#REF!+#REF!+BC34</formula>
    </cfRule>
  </conditionalFormatting>
  <conditionalFormatting sqref="CM57 CM48">
    <cfRule type="cellIs" priority="91" dxfId="335" operator="equal" stopIfTrue="1">
      <formula>"&lt;&gt;"</formula>
    </cfRule>
  </conditionalFormatting>
  <conditionalFormatting sqref="CO57 CO48">
    <cfRule type="cellIs" priority="90" dxfId="335" operator="equal" stopIfTrue="1">
      <formula>"&lt;&gt;"</formula>
    </cfRule>
  </conditionalFormatting>
  <conditionalFormatting sqref="CQ57 CQ48">
    <cfRule type="cellIs" priority="89" dxfId="335" operator="equal" stopIfTrue="1">
      <formula>"&lt;&gt;"</formula>
    </cfRule>
  </conditionalFormatting>
  <conditionalFormatting sqref="CS57 CS48">
    <cfRule type="cellIs" priority="88" dxfId="335" operator="equal" stopIfTrue="1">
      <formula>"&lt;&gt;"</formula>
    </cfRule>
  </conditionalFormatting>
  <conditionalFormatting sqref="F12 H12">
    <cfRule type="cellIs" priority="581" dxfId="335" operator="lessThan" stopIfTrue="1">
      <formula>F9+F10-(0.01*(F9+F10))</formula>
    </cfRule>
  </conditionalFormatting>
  <conditionalFormatting sqref="BC10">
    <cfRule type="cellIs" priority="644" dxfId="335" operator="lessThan" stopIfTrue="1">
      <formula>#REF!+#REF!</formula>
    </cfRule>
    <cfRule type="cellIs" priority="645" dxfId="335" operator="lessThan" stopIfTrue="1">
      <formula>BC14+BC15+BC16+BC19+#REF!+#REF!</formula>
    </cfRule>
  </conditionalFormatting>
  <conditionalFormatting sqref="BC23">
    <cfRule type="cellIs" priority="666" dxfId="335" operator="lessThan" stopIfTrue="1">
      <formula>#REF!+#REF!</formula>
    </cfRule>
    <cfRule type="cellIs" priority="667" dxfId="335" operator="lessThan" stopIfTrue="1">
      <formula>BC25+BC26+BC27+BC28+#REF!+#REF!</formula>
    </cfRule>
  </conditionalFormatting>
  <conditionalFormatting sqref="BC24">
    <cfRule type="cellIs" priority="668" dxfId="335" operator="lessThan" stopIfTrue="1">
      <formula>#REF!+#REF!</formula>
    </cfRule>
    <cfRule type="cellIs" priority="669" dxfId="335" operator="lessThan" stopIfTrue="1">
      <formula>BC26+BC27+BC28+#REF!+#REF!+#REF!</formula>
    </cfRule>
  </conditionalFormatting>
  <conditionalFormatting sqref="BC15">
    <cfRule type="cellIs" priority="670" dxfId="335" operator="lessThan" stopIfTrue="1">
      <formula>BC36+#REF!</formula>
    </cfRule>
    <cfRule type="cellIs" priority="671" dxfId="335" operator="lessThan" stopIfTrue="1">
      <formula>BC19+#REF!+#REF!+#REF!+#REF!+#REF!</formula>
    </cfRule>
  </conditionalFormatting>
  <conditionalFormatting sqref="BC14">
    <cfRule type="cellIs" priority="672" dxfId="335" operator="lessThan" stopIfTrue="1">
      <formula>BC33+#REF!</formula>
    </cfRule>
    <cfRule type="cellIs" priority="673" dxfId="335" operator="lessThan" stopIfTrue="1">
      <formula>BC16+BC19+#REF!+#REF!+#REF!+#REF!</formula>
    </cfRule>
  </conditionalFormatting>
  <conditionalFormatting sqref="BC25">
    <cfRule type="cellIs" priority="714" dxfId="335" operator="lessThan" stopIfTrue="1">
      <formula>BC42+#REF!</formula>
    </cfRule>
    <cfRule type="cellIs" priority="715" dxfId="335" operator="lessThan" stopIfTrue="1">
      <formula>BC27+BC28+#REF!+#REF!+#REF!+#REF!</formula>
    </cfRule>
  </conditionalFormatting>
  <conditionalFormatting sqref="BC21:BC22">
    <cfRule type="cellIs" priority="722" dxfId="335" operator="lessThan" stopIfTrue="1">
      <formula>#REF!+#REF!</formula>
    </cfRule>
    <cfRule type="cellIs" priority="723" dxfId="335" operator="lessThan" stopIfTrue="1">
      <formula>#REF!+BC25+BC26+BC27+BC28+#REF!</formula>
    </cfRule>
  </conditionalFormatting>
  <conditionalFormatting sqref="BC11:BC12">
    <cfRule type="cellIs" priority="86" dxfId="335" operator="lessThan" stopIfTrue="1">
      <formula>#REF!+#REF!</formula>
    </cfRule>
    <cfRule type="cellIs" priority="87" dxfId="335" operator="lessThan" stopIfTrue="1">
      <formula>BC15+BC16+BC17+BC20+#REF!+#REF!</formula>
    </cfRule>
  </conditionalFormatting>
  <conditionalFormatting sqref="J10:J11">
    <cfRule type="cellIs" priority="83" dxfId="335" operator="lessThan" stopIfTrue="1">
      <formula>J8+J9-(0.01*(J8+J9))</formula>
    </cfRule>
  </conditionalFormatting>
  <conditionalFormatting sqref="J30">
    <cfRule type="cellIs" priority="81" dxfId="335" operator="lessThan" stopIfTrue="1">
      <formula>0.99*(J28-J29)</formula>
    </cfRule>
  </conditionalFormatting>
  <conditionalFormatting sqref="J28">
    <cfRule type="cellIs" priority="82" dxfId="335" operator="lessThan" stopIfTrue="1">
      <formula>J12+J24+J25+J26-J27-(0.01*(J10+J24+J25+J26-J27))</formula>
    </cfRule>
  </conditionalFormatting>
  <conditionalFormatting sqref="J12">
    <cfRule type="cellIs" priority="84" dxfId="335" operator="lessThan" stopIfTrue="1">
      <formula>J9+J10-(0.01*(J9+J10))</formula>
    </cfRule>
  </conditionalFormatting>
  <conditionalFormatting sqref="N10:N11">
    <cfRule type="cellIs" priority="79" dxfId="335" operator="lessThan" stopIfTrue="1">
      <formula>N8+N9-(0.01*(N8+N9))</formula>
    </cfRule>
  </conditionalFormatting>
  <conditionalFormatting sqref="N30">
    <cfRule type="cellIs" priority="77" dxfId="335" operator="lessThan" stopIfTrue="1">
      <formula>0.99*(N28-N29)</formula>
    </cfRule>
  </conditionalFormatting>
  <conditionalFormatting sqref="N28">
    <cfRule type="cellIs" priority="78" dxfId="335" operator="lessThan" stopIfTrue="1">
      <formula>N12+N24+N25+N26-N27-(0.01*(N10+N24+N25+N26-N27))</formula>
    </cfRule>
  </conditionalFormatting>
  <conditionalFormatting sqref="N12">
    <cfRule type="cellIs" priority="80" dxfId="335" operator="lessThan" stopIfTrue="1">
      <formula>N9+N10-(0.01*(N9+N10))</formula>
    </cfRule>
  </conditionalFormatting>
  <conditionalFormatting sqref="P10:P11">
    <cfRule type="cellIs" priority="75" dxfId="335" operator="lessThan" stopIfTrue="1">
      <formula>P8+P9-(0.01*(P8+P9))</formula>
    </cfRule>
  </conditionalFormatting>
  <conditionalFormatting sqref="P30">
    <cfRule type="cellIs" priority="73" dxfId="335" operator="lessThan" stopIfTrue="1">
      <formula>0.99*(P28-P29)</formula>
    </cfRule>
  </conditionalFormatting>
  <conditionalFormatting sqref="P28">
    <cfRule type="cellIs" priority="74" dxfId="335" operator="lessThan" stopIfTrue="1">
      <formula>P12+P24+P25+P26-P27-(0.01*(P10+P24+P25+P26-P27))</formula>
    </cfRule>
  </conditionalFormatting>
  <conditionalFormatting sqref="P12">
    <cfRule type="cellIs" priority="76" dxfId="335" operator="lessThan" stopIfTrue="1">
      <formula>P9+P10-(0.01*(P9+P10))</formula>
    </cfRule>
  </conditionalFormatting>
  <conditionalFormatting sqref="L10:L11">
    <cfRule type="cellIs" priority="71" dxfId="335" operator="lessThan" stopIfTrue="1">
      <formula>L8+L9-(0.01*(L8+L9))</formula>
    </cfRule>
  </conditionalFormatting>
  <conditionalFormatting sqref="L30">
    <cfRule type="cellIs" priority="69" dxfId="335" operator="lessThan" stopIfTrue="1">
      <formula>0.99*(L28-L29)</formula>
    </cfRule>
  </conditionalFormatting>
  <conditionalFormatting sqref="L28">
    <cfRule type="cellIs" priority="70" dxfId="335" operator="lessThan" stopIfTrue="1">
      <formula>0.99*(L12+L24+L25+L26-L27)</formula>
    </cfRule>
  </conditionalFormatting>
  <conditionalFormatting sqref="L12">
    <cfRule type="cellIs" priority="72" dxfId="335" operator="lessThan" stopIfTrue="1">
      <formula>L9+L10-(0.01*(L9+L10))</formula>
    </cfRule>
  </conditionalFormatting>
  <conditionalFormatting sqref="R10:R11">
    <cfRule type="cellIs" priority="67" dxfId="335" operator="lessThan" stopIfTrue="1">
      <formula>R8+R9-(0.01*(R8+R9))</formula>
    </cfRule>
  </conditionalFormatting>
  <conditionalFormatting sqref="R30">
    <cfRule type="cellIs" priority="65" dxfId="335" operator="lessThan" stopIfTrue="1">
      <formula>0.99*(R28-R29)</formula>
    </cfRule>
  </conditionalFormatting>
  <conditionalFormatting sqref="R28">
    <cfRule type="cellIs" priority="66" dxfId="335" operator="lessThan" stopIfTrue="1">
      <formula>0.99*(R12+R24+R25+R26-R27)</formula>
    </cfRule>
  </conditionalFormatting>
  <conditionalFormatting sqref="R12">
    <cfRule type="cellIs" priority="68" dxfId="335" operator="lessThan" stopIfTrue="1">
      <formula>R9+R10-(0.01*(R9+R10))</formula>
    </cfRule>
  </conditionalFormatting>
  <conditionalFormatting sqref="V10:V11">
    <cfRule type="cellIs" priority="63" dxfId="335" operator="lessThan" stopIfTrue="1">
      <formula>V8+V9-(0.01*(V8+V9))</formula>
    </cfRule>
  </conditionalFormatting>
  <conditionalFormatting sqref="V30">
    <cfRule type="cellIs" priority="61" dxfId="335" operator="lessThan" stopIfTrue="1">
      <formula>0.99*(V28-V29)</formula>
    </cfRule>
  </conditionalFormatting>
  <conditionalFormatting sqref="V28">
    <cfRule type="cellIs" priority="62" dxfId="335" operator="lessThan" stopIfTrue="1">
      <formula>V12+V24+V25+V26-V27-(0.01*(V10+V24+V25+V26-V27))</formula>
    </cfRule>
  </conditionalFormatting>
  <conditionalFormatting sqref="V12">
    <cfRule type="cellIs" priority="64" dxfId="335" operator="lessThan" stopIfTrue="1">
      <formula>V9+V10-(0.01*(V9+V10))</formula>
    </cfRule>
  </conditionalFormatting>
  <conditionalFormatting sqref="X10:X11">
    <cfRule type="cellIs" priority="59" dxfId="335" operator="lessThan" stopIfTrue="1">
      <formula>X8+X9-(0.01*(X8+X9))</formula>
    </cfRule>
  </conditionalFormatting>
  <conditionalFormatting sqref="X30">
    <cfRule type="cellIs" priority="57" dxfId="335" operator="lessThan" stopIfTrue="1">
      <formula>0.99*(X28-X29)</formula>
    </cfRule>
  </conditionalFormatting>
  <conditionalFormatting sqref="X28">
    <cfRule type="cellIs" priority="58" dxfId="335" operator="lessThan" stopIfTrue="1">
      <formula>X12+X24+X25+X26-X27-(0.01*(X10+X24+X25+X26-X27))</formula>
    </cfRule>
  </conditionalFormatting>
  <conditionalFormatting sqref="X12">
    <cfRule type="cellIs" priority="60" dxfId="335" operator="lessThan" stopIfTrue="1">
      <formula>X9+X10-(0.01*(X9+X10))</formula>
    </cfRule>
  </conditionalFormatting>
  <conditionalFormatting sqref="T10:T11">
    <cfRule type="cellIs" priority="55" dxfId="335" operator="lessThan" stopIfTrue="1">
      <formula>T8+T9-(0.01*(T8+T9))</formula>
    </cfRule>
  </conditionalFormatting>
  <conditionalFormatting sqref="T30">
    <cfRule type="cellIs" priority="53" dxfId="335" operator="lessThan" stopIfTrue="1">
      <formula>0.99*(T28-T29)</formula>
    </cfRule>
  </conditionalFormatting>
  <conditionalFormatting sqref="T28">
    <cfRule type="cellIs" priority="54" dxfId="335" operator="lessThan" stopIfTrue="1">
      <formula>0.99*(T12+T24+T25+T26-T27)</formula>
    </cfRule>
  </conditionalFormatting>
  <conditionalFormatting sqref="T12">
    <cfRule type="cellIs" priority="56" dxfId="335" operator="lessThan" stopIfTrue="1">
      <formula>T9+T10-(0.01*(T9+T10))</formula>
    </cfRule>
  </conditionalFormatting>
  <conditionalFormatting sqref="Z10:Z11">
    <cfRule type="cellIs" priority="51" dxfId="335" operator="lessThan" stopIfTrue="1">
      <formula>Z8+Z9-(0.01*(Z8+Z9))</formula>
    </cfRule>
  </conditionalFormatting>
  <conditionalFormatting sqref="Z30">
    <cfRule type="cellIs" priority="49" dxfId="335" operator="lessThan" stopIfTrue="1">
      <formula>0.99*(Z28-Z29)</formula>
    </cfRule>
  </conditionalFormatting>
  <conditionalFormatting sqref="Z28">
    <cfRule type="cellIs" priority="50" dxfId="335" operator="lessThan" stopIfTrue="1">
      <formula>0.99*(Z12+Z24+Z25+Z26-Z27)</formula>
    </cfRule>
  </conditionalFormatting>
  <conditionalFormatting sqref="Z12">
    <cfRule type="cellIs" priority="52" dxfId="335" operator="lessThan" stopIfTrue="1">
      <formula>Z9+Z10-(0.01*(Z9+Z10))</formula>
    </cfRule>
  </conditionalFormatting>
  <conditionalFormatting sqref="AD10:AD11">
    <cfRule type="cellIs" priority="47" dxfId="335" operator="lessThan" stopIfTrue="1">
      <formula>AD8+AD9-(0.01*(AD8+AD9))</formula>
    </cfRule>
  </conditionalFormatting>
  <conditionalFormatting sqref="AD30">
    <cfRule type="cellIs" priority="45" dxfId="335" operator="lessThan" stopIfTrue="1">
      <formula>0.99*(AD28-AD29)</formula>
    </cfRule>
  </conditionalFormatting>
  <conditionalFormatting sqref="AD28">
    <cfRule type="cellIs" priority="46" dxfId="335" operator="lessThan" stopIfTrue="1">
      <formula>AD12+AD24+AD25+AD26-AD27-(0.01*(AD10+AD24+AD25+AD26-AD27))</formula>
    </cfRule>
  </conditionalFormatting>
  <conditionalFormatting sqref="AD12">
    <cfRule type="cellIs" priority="48" dxfId="335" operator="lessThan" stopIfTrue="1">
      <formula>AD9+AD10-(0.01*(AD9+AD10))</formula>
    </cfRule>
  </conditionalFormatting>
  <conditionalFormatting sqref="AF10:AF11">
    <cfRule type="cellIs" priority="43" dxfId="335" operator="lessThan" stopIfTrue="1">
      <formula>AF8+AF9-(0.01*(AF8+AF9))</formula>
    </cfRule>
  </conditionalFormatting>
  <conditionalFormatting sqref="AF30">
    <cfRule type="cellIs" priority="41" dxfId="335" operator="lessThan" stopIfTrue="1">
      <formula>0.99*(AF28-AF29)</formula>
    </cfRule>
  </conditionalFormatting>
  <conditionalFormatting sqref="AF28">
    <cfRule type="cellIs" priority="42" dxfId="335" operator="lessThan" stopIfTrue="1">
      <formula>AF12+AF24+AF25+AF26-AF27-(0.01*(AF10+AF24+AF25+AF26-AF27))</formula>
    </cfRule>
  </conditionalFormatting>
  <conditionalFormatting sqref="AF12">
    <cfRule type="cellIs" priority="44" dxfId="335" operator="lessThan" stopIfTrue="1">
      <formula>AF9+AF10-(0.01*(AF9+AF10))</formula>
    </cfRule>
  </conditionalFormatting>
  <conditionalFormatting sqref="AB10:AB11">
    <cfRule type="cellIs" priority="39" dxfId="335" operator="lessThan" stopIfTrue="1">
      <formula>AB8+AB9-(0.01*(AB8+AB9))</formula>
    </cfRule>
  </conditionalFormatting>
  <conditionalFormatting sqref="AB30">
    <cfRule type="cellIs" priority="37" dxfId="335" operator="lessThan" stopIfTrue="1">
      <formula>0.99*(AB28-AB29)</formula>
    </cfRule>
  </conditionalFormatting>
  <conditionalFormatting sqref="AB28">
    <cfRule type="cellIs" priority="38" dxfId="335" operator="lessThan" stopIfTrue="1">
      <formula>0.99*(AB12+AB24+AB25+AB26-AB27)</formula>
    </cfRule>
  </conditionalFormatting>
  <conditionalFormatting sqref="AB12">
    <cfRule type="cellIs" priority="40" dxfId="335" operator="lessThan" stopIfTrue="1">
      <formula>AB9+AB10-(0.01*(AB9+AB10))</formula>
    </cfRule>
  </conditionalFormatting>
  <conditionalFormatting sqref="AH10:AH11">
    <cfRule type="cellIs" priority="35" dxfId="335" operator="lessThan" stopIfTrue="1">
      <formula>AH8+AH9-(0.01*(AH8+AH9))</formula>
    </cfRule>
  </conditionalFormatting>
  <conditionalFormatting sqref="AH30">
    <cfRule type="cellIs" priority="33" dxfId="335" operator="lessThan" stopIfTrue="1">
      <formula>0.99*(AH28-AH29)</formula>
    </cfRule>
  </conditionalFormatting>
  <conditionalFormatting sqref="AH28">
    <cfRule type="cellIs" priority="34" dxfId="335" operator="lessThan" stopIfTrue="1">
      <formula>0.99*(AH12+AH24+AH25+AH26-AH27)</formula>
    </cfRule>
  </conditionalFormatting>
  <conditionalFormatting sqref="AH12">
    <cfRule type="cellIs" priority="36" dxfId="335" operator="lessThan" stopIfTrue="1">
      <formula>AH9+AH10-(0.01*(AH9+AH10))</formula>
    </cfRule>
  </conditionalFormatting>
  <conditionalFormatting sqref="AL10:AL11">
    <cfRule type="cellIs" priority="31" dxfId="335" operator="lessThan" stopIfTrue="1">
      <formula>AL8+AL9-(0.01*(AL8+AL9))</formula>
    </cfRule>
  </conditionalFormatting>
  <conditionalFormatting sqref="AL30">
    <cfRule type="cellIs" priority="29" dxfId="335" operator="lessThan" stopIfTrue="1">
      <formula>0.99*(AL28-AL29)</formula>
    </cfRule>
  </conditionalFormatting>
  <conditionalFormatting sqref="AL28">
    <cfRule type="cellIs" priority="30" dxfId="335" operator="lessThan" stopIfTrue="1">
      <formula>AL12+AL24+AL25+AL26-AL27-(0.01*(AL10+AL24+AL25+AL26-AL27))</formula>
    </cfRule>
  </conditionalFormatting>
  <conditionalFormatting sqref="AL12">
    <cfRule type="cellIs" priority="32" dxfId="335" operator="lessThan" stopIfTrue="1">
      <formula>AL9+AL10-(0.01*(AL9+AL10))</formula>
    </cfRule>
  </conditionalFormatting>
  <conditionalFormatting sqref="AN10:AN11">
    <cfRule type="cellIs" priority="27" dxfId="335" operator="lessThan" stopIfTrue="1">
      <formula>AN8+AN9-(0.01*(AN8+AN9))</formula>
    </cfRule>
  </conditionalFormatting>
  <conditionalFormatting sqref="AN30">
    <cfRule type="cellIs" priority="25" dxfId="335" operator="lessThan" stopIfTrue="1">
      <formula>0.99*(AN28-AN29)</formula>
    </cfRule>
  </conditionalFormatting>
  <conditionalFormatting sqref="AN28">
    <cfRule type="cellIs" priority="26" dxfId="335" operator="lessThan" stopIfTrue="1">
      <formula>AN12+AN24+AN25+AN26-AN27-(0.01*(AN10+AN24+AN25+AN26-AN27))</formula>
    </cfRule>
  </conditionalFormatting>
  <conditionalFormatting sqref="AN12">
    <cfRule type="cellIs" priority="28" dxfId="335" operator="lessThan" stopIfTrue="1">
      <formula>AN9+AN10-(0.01*(AN9+AN10))</formula>
    </cfRule>
  </conditionalFormatting>
  <conditionalFormatting sqref="AJ10:AJ11">
    <cfRule type="cellIs" priority="23" dxfId="335" operator="lessThan" stopIfTrue="1">
      <formula>AJ8+AJ9-(0.01*(AJ8+AJ9))</formula>
    </cfRule>
  </conditionalFormatting>
  <conditionalFormatting sqref="AJ30">
    <cfRule type="cellIs" priority="21" dxfId="335" operator="lessThan" stopIfTrue="1">
      <formula>0.99*(AJ28-AJ29)</formula>
    </cfRule>
  </conditionalFormatting>
  <conditionalFormatting sqref="AJ28">
    <cfRule type="cellIs" priority="22" dxfId="335" operator="lessThan" stopIfTrue="1">
      <formula>0.99*(AJ12+AJ24+AJ25+AJ26-AJ27)</formula>
    </cfRule>
  </conditionalFormatting>
  <conditionalFormatting sqref="AJ12">
    <cfRule type="cellIs" priority="24" dxfId="335" operator="lessThan" stopIfTrue="1">
      <formula>AJ9+AJ10-(0.01*(AJ9+AJ10))</formula>
    </cfRule>
  </conditionalFormatting>
  <conditionalFormatting sqref="AR10:AR11">
    <cfRule type="cellIs" priority="15" dxfId="335" operator="lessThan" stopIfTrue="1">
      <formula>AR8+AR9-(0.01*(AR8+AR9))</formula>
    </cfRule>
  </conditionalFormatting>
  <conditionalFormatting sqref="AR30">
    <cfRule type="cellIs" priority="13" dxfId="335" operator="lessThan" stopIfTrue="1">
      <formula>0.99*(AR28-AR29)</formula>
    </cfRule>
  </conditionalFormatting>
  <conditionalFormatting sqref="AR28">
    <cfRule type="cellIs" priority="14" dxfId="335" operator="lessThan" stopIfTrue="1">
      <formula>AR12+AR24+AR25+AR26-AR27-(0.01*(AR10+AR24+AR25+AR26-AR27))</formula>
    </cfRule>
  </conditionalFormatting>
  <conditionalFormatting sqref="AR12">
    <cfRule type="cellIs" priority="16" dxfId="335" operator="lessThan" stopIfTrue="1">
      <formula>AR9+AR10-(0.01*(AR9+AR10))</formula>
    </cfRule>
  </conditionalFormatting>
  <conditionalFormatting sqref="AT10:AT11">
    <cfRule type="cellIs" priority="11" dxfId="335" operator="lessThan" stopIfTrue="1">
      <formula>AT8+AT9-(0.01*(AT8+AT9))</formula>
    </cfRule>
  </conditionalFormatting>
  <conditionalFormatting sqref="AT30">
    <cfRule type="cellIs" priority="9" dxfId="335" operator="lessThan" stopIfTrue="1">
      <formula>0.99*(AT28-AT29)</formula>
    </cfRule>
  </conditionalFormatting>
  <conditionalFormatting sqref="AT28">
    <cfRule type="cellIs" priority="10" dxfId="335" operator="lessThan" stopIfTrue="1">
      <formula>AT12+AT24+AT25+AT26-AT27-(0.01*(AT10+AT24+AT25+AT26-AT27))</formula>
    </cfRule>
  </conditionalFormatting>
  <conditionalFormatting sqref="AT12">
    <cfRule type="cellIs" priority="12" dxfId="335" operator="lessThan" stopIfTrue="1">
      <formula>AT9+AT10-(0.01*(AT9+AT10))</formula>
    </cfRule>
  </conditionalFormatting>
  <conditionalFormatting sqref="AP10:AP11">
    <cfRule type="cellIs" priority="7" dxfId="335" operator="lessThan" stopIfTrue="1">
      <formula>AP8+AP9-(0.01*(AP8+AP9))</formula>
    </cfRule>
  </conditionalFormatting>
  <conditionalFormatting sqref="AP30">
    <cfRule type="cellIs" priority="5" dxfId="335" operator="lessThan" stopIfTrue="1">
      <formula>0.99*(AP28-AP29)</formula>
    </cfRule>
  </conditionalFormatting>
  <conditionalFormatting sqref="AP28">
    <cfRule type="cellIs" priority="6" dxfId="335" operator="lessThan" stopIfTrue="1">
      <formula>0.99*(AP12+AP24+AP25+AP26-AP27)</formula>
    </cfRule>
  </conditionalFormatting>
  <conditionalFormatting sqref="AP12">
    <cfRule type="cellIs" priority="8" dxfId="335" operator="lessThan" stopIfTrue="1">
      <formula>AP9+AP10-(0.01*(AP9+AP10))</formula>
    </cfRule>
  </conditionalFormatting>
  <conditionalFormatting sqref="AV10:AV11">
    <cfRule type="cellIs" priority="3" dxfId="335" operator="lessThan" stopIfTrue="1">
      <formula>AV8+AV9-(0.01*(AV8+AV9))</formula>
    </cfRule>
  </conditionalFormatting>
  <conditionalFormatting sqref="AV30">
    <cfRule type="cellIs" priority="1" dxfId="335" operator="lessThan" stopIfTrue="1">
      <formula>0.99*(AV28-AV29)</formula>
    </cfRule>
  </conditionalFormatting>
  <conditionalFormatting sqref="AV28">
    <cfRule type="cellIs" priority="2" dxfId="335" operator="lessThan" stopIfTrue="1">
      <formula>0.99*(AV12+AV24+AV25+AV26-AV27)</formula>
    </cfRule>
  </conditionalFormatting>
  <conditionalFormatting sqref="AV12">
    <cfRule type="cellIs" priority="4" dxfId="335" operator="lessThan" stopIfTrue="1">
      <formula>AV9+AV10-(0.01*(AV9+AV10))</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50"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5"/>
  <sheetViews>
    <sheetView showGridLines="0" zoomScale="80" zoomScaleNormal="80" zoomScaleSheetLayoutView="55" workbookViewId="0" topLeftCell="C4">
      <selection activeCell="F8" sqref="F8"/>
    </sheetView>
  </sheetViews>
  <sheetFormatPr defaultColWidth="12" defaultRowHeight="12.75"/>
  <cols>
    <col min="1" max="1" width="4.66015625" style="162" hidden="1" customWidth="1"/>
    <col min="2" max="2" width="5.832031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8" customFormat="1" ht="16.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1"/>
      <c r="AY1" s="197"/>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454</v>
      </c>
      <c r="C3" s="319" t="s">
        <v>297</v>
      </c>
      <c r="D3" s="29" t="s">
        <v>407</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409"/>
      <c r="AZ3" s="326" t="s">
        <v>49</v>
      </c>
      <c r="BA3" s="410"/>
      <c r="BB3" s="410"/>
      <c r="BC3" s="333"/>
      <c r="BD3" s="333"/>
      <c r="BE3" s="333"/>
      <c r="BF3" s="333"/>
      <c r="BG3" s="856"/>
      <c r="BH3" s="856"/>
      <c r="BI3" s="856"/>
      <c r="BJ3" s="412"/>
      <c r="BK3" s="412"/>
      <c r="BL3" s="412"/>
      <c r="BM3" s="856"/>
      <c r="BN3" s="856"/>
      <c r="BO3" s="856"/>
      <c r="BP3" s="412"/>
      <c r="BQ3" s="412"/>
      <c r="BR3" s="412"/>
      <c r="BS3" s="412"/>
      <c r="BT3" s="412"/>
      <c r="BU3" s="412"/>
      <c r="BV3" s="412"/>
      <c r="BW3" s="333"/>
      <c r="BX3" s="333"/>
      <c r="BY3" s="333"/>
      <c r="BZ3" s="333"/>
      <c r="CA3" s="333"/>
      <c r="CB3" s="333"/>
      <c r="CC3" s="413"/>
      <c r="CD3" s="413"/>
      <c r="CE3" s="413"/>
      <c r="CF3" s="413"/>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8" customFormat="1" ht="17.25" customHeight="1">
      <c r="A5" s="407"/>
      <c r="B5" s="163">
        <v>17</v>
      </c>
      <c r="C5" s="824" t="s">
        <v>197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197"/>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1:98"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J6" s="341"/>
      <c r="AK6" s="342"/>
      <c r="AL6" s="341"/>
      <c r="AM6" s="203"/>
      <c r="AN6" s="341"/>
      <c r="AO6" s="344"/>
      <c r="AP6" s="344"/>
      <c r="AQ6" s="344"/>
      <c r="AR6" s="344"/>
      <c r="AS6" s="344"/>
      <c r="AT6" s="301"/>
      <c r="AU6" s="345"/>
      <c r="AV6" s="344"/>
      <c r="AW6" s="344"/>
      <c r="AX6" s="301"/>
      <c r="AY6" s="41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61">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73">
        <v>17.209999084472656</v>
      </c>
      <c r="G8" s="556"/>
      <c r="H8" s="573">
        <v>22.770000457763672</v>
      </c>
      <c r="I8" s="556"/>
      <c r="J8" s="573">
        <v>24.940000534057617</v>
      </c>
      <c r="K8" s="556"/>
      <c r="L8" s="573">
        <v>25.65999984741211</v>
      </c>
      <c r="M8" s="556"/>
      <c r="N8" s="573">
        <v>26.559999465942383</v>
      </c>
      <c r="O8" s="556"/>
      <c r="P8" s="573">
        <v>33.86000061035156</v>
      </c>
      <c r="Q8" s="556"/>
      <c r="R8" s="573">
        <v>28.770000457763672</v>
      </c>
      <c r="S8" s="556"/>
      <c r="T8" s="573">
        <v>39.869998931884766</v>
      </c>
      <c r="U8" s="556"/>
      <c r="V8" s="573">
        <v>63.65999984741211</v>
      </c>
      <c r="W8" s="556"/>
      <c r="X8" s="573">
        <v>64.54000091552734</v>
      </c>
      <c r="Y8" s="556"/>
      <c r="Z8" s="573">
        <v>66.5999984741211</v>
      </c>
      <c r="AA8" s="556"/>
      <c r="AB8" s="573">
        <v>70.44000244140625</v>
      </c>
      <c r="AC8" s="556"/>
      <c r="AD8" s="573">
        <v>71.88999938964844</v>
      </c>
      <c r="AE8" s="556"/>
      <c r="AF8" s="573">
        <v>70.60956573486328</v>
      </c>
      <c r="AG8" s="556"/>
      <c r="AH8" s="573">
        <v>70.44000244140625</v>
      </c>
      <c r="AI8" s="556"/>
      <c r="AJ8" s="573">
        <v>71.88999938964844</v>
      </c>
      <c r="AK8" s="556"/>
      <c r="AL8" s="573">
        <v>72.56543731689453</v>
      </c>
      <c r="AM8" s="556"/>
      <c r="AN8" s="573">
        <v>70.44000244140625</v>
      </c>
      <c r="AO8" s="556"/>
      <c r="AP8" s="573">
        <v>71.88999938964844</v>
      </c>
      <c r="AQ8" s="556"/>
      <c r="AR8" s="573">
        <v>46.16511535644531</v>
      </c>
      <c r="AS8" s="556"/>
      <c r="AT8" s="573"/>
      <c r="AU8" s="556"/>
      <c r="AV8" s="573"/>
      <c r="AW8" s="556"/>
      <c r="AY8" s="173"/>
      <c r="AZ8" s="605">
        <v>1</v>
      </c>
      <c r="BA8" s="612" t="s">
        <v>14</v>
      </c>
      <c r="BB8" s="565" t="s">
        <v>299</v>
      </c>
      <c r="BC8" s="227" t="s">
        <v>82</v>
      </c>
      <c r="BD8" s="578"/>
      <c r="BE8" s="79" t="str">
        <f>IF(OR(ISBLANK(F8),ISBLANK(H8)),"N/A",IF(ABS((H8-F8)/F8)&gt;1,"&gt; 100%","ok"))</f>
        <v>ok</v>
      </c>
      <c r="BF8" s="578"/>
      <c r="BG8" s="82" t="str">
        <f>IF(OR(ISBLANK(H8),ISBLANK(J8)),"N/A",IF(ABS((J8-H8)/H8)&gt;1,"&gt; 100%","ok"))</f>
        <v>ok</v>
      </c>
      <c r="BH8" s="82"/>
      <c r="BI8" s="82" t="str">
        <f>IF(OR(ISBLANK(J8),ISBLANK(L8)),"N/A",IF(ABS((L8-J8)/J8)&gt;0.25,"&gt; 25%","ok"))</f>
        <v>ok</v>
      </c>
      <c r="BJ8" s="82"/>
      <c r="BK8" s="82" t="str">
        <f>IF(OR(ISBLANK(L8),ISBLANK(N8)),"N/A",IF(ABS((N8-L8)/L8)&gt;0.25,"&gt; 25%","ok"))</f>
        <v>ok</v>
      </c>
      <c r="BL8" s="82"/>
      <c r="BM8" s="82" t="str">
        <f>IF(OR(ISBLANK(N8),ISBLANK(P8)),"N/A",IF(ABS((P8-N8)/N8)&gt;0.25,"&gt; 25%","ok"))</f>
        <v>&gt; 25%</v>
      </c>
      <c r="BN8" s="82"/>
      <c r="BO8" s="82" t="str">
        <f>IF(OR(ISBLANK(P8),ISBLANK(R8)),"N/A",IF(ABS((R8-P8)/P8)&gt;0.25,"&gt; 25%","ok"))</f>
        <v>ok</v>
      </c>
      <c r="BP8" s="82"/>
      <c r="BQ8" s="82" t="str">
        <f>IF(OR(ISBLANK(R8),ISBLANK(T8)),"N/A",IF(ABS((T8-R8)/R8)&gt;0.25,"&gt; 25%","ok"))</f>
        <v>&gt; 25%</v>
      </c>
      <c r="BR8" s="82"/>
      <c r="BS8" s="82" t="str">
        <f>IF(OR(ISBLANK(T8),ISBLANK(V8)),"N/A",IF(ABS((V8-T8)/T8)&gt;0.25,"&gt; 25%","ok"))</f>
        <v>&gt; 25%</v>
      </c>
      <c r="BT8" s="82"/>
      <c r="BU8" s="82" t="str">
        <f>IF(OR(ISBLANK(V8),ISBLANK(X8)),"N/A",IF(ABS((X8-V8)/V8)&gt;0.25,"&gt; 25%","ok"))</f>
        <v>ok</v>
      </c>
      <c r="BV8" s="82"/>
      <c r="BW8" s="82" t="str">
        <f>IF(OR(ISBLANK(X8),ISBLANK(Z8)),"N/A",IF(ABS((Z8-X8)/X8)&gt;0.25,"&gt; 25%","ok"))</f>
        <v>ok</v>
      </c>
      <c r="BX8" s="82"/>
      <c r="BY8" s="82" t="str">
        <f>IF(OR(ISBLANK(Z8),ISBLANK(AB8)),"N/A",IF(ABS((AB8-Z8)/Z8)&gt;0.25,"&gt; 25%","ok"))</f>
        <v>ok</v>
      </c>
      <c r="BZ8" s="82"/>
      <c r="CA8" s="82" t="str">
        <f>IF(OR(ISBLANK(AB8),ISBLANK(AD8)),"N/A",IF(ABS((AD8-AB8)/AB8)&gt;0.25,"&gt; 25%","ok"))</f>
        <v>ok</v>
      </c>
      <c r="CB8" s="82"/>
      <c r="CC8" s="82" t="str">
        <f>IF(OR(ISBLANK(AD8),ISBLANK(AF8)),"N/A",IF(ABS((AF8-AD8)/AD8)&gt;0.25,"&gt; 25%","ok"))</f>
        <v>ok</v>
      </c>
      <c r="CD8" s="82"/>
      <c r="CE8" s="82" t="str">
        <f>IF(OR(ISBLANK(AF8),ISBLANK(AH8)),"N/A",IF(ABS((AH8-AF8)/AF8)&gt;0.25,"&gt; 25%","ok"))</f>
        <v>ok</v>
      </c>
      <c r="CF8" s="82"/>
      <c r="CG8" s="82" t="str">
        <f>IF(OR(ISBLANK(AH8),ISBLANK(AJ8)),"N/A",IF(ABS((AJ8-AH8)/AH8)&gt;0.25,"&gt; 25%","ok"))</f>
        <v>ok</v>
      </c>
      <c r="CH8" s="82"/>
      <c r="CI8" s="82" t="str">
        <f>IF(OR(ISBLANK(AJ8),ISBLANK(AL8)),"N/A",IF(ABS((AL8-AJ8)/AJ8)&gt;0.25,"&gt; 25%","ok"))</f>
        <v>ok</v>
      </c>
      <c r="CJ8" s="82"/>
      <c r="CK8" s="82" t="str">
        <f>IF(OR(ISBLANK(AL8),ISBLANK(AN8)),"N/A",IF(ABS((AN8-AL8)/AL8)&gt;0.25,"&gt; 25%","ok"))</f>
        <v>ok</v>
      </c>
      <c r="CL8" s="82"/>
      <c r="CM8" s="82" t="str">
        <f>IF(OR(ISBLANK(AN8),ISBLANK(AP8)),"N/A",IF(ABS((AP8-AN8)/AN8)&gt;0.25,"&gt; 25%","ok"))</f>
        <v>ok</v>
      </c>
      <c r="CN8" s="82"/>
      <c r="CO8" s="82" t="str">
        <f>IF(OR(ISBLANK(AP8),ISBLANK(AR8)),"N/A",IF(ABS((AR8-AP8)/AP8)&gt;0.25,"&gt; 25%","ok"))</f>
        <v>&gt; 25%</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73">
        <v>2.890000104904175</v>
      </c>
      <c r="G9" s="556"/>
      <c r="H9" s="573">
        <v>4.559999942779541</v>
      </c>
      <c r="I9" s="556"/>
      <c r="J9" s="573">
        <v>8.609999656677246</v>
      </c>
      <c r="K9" s="556"/>
      <c r="L9" s="573">
        <v>8.079999923706055</v>
      </c>
      <c r="M9" s="556"/>
      <c r="N9" s="573">
        <v>8.979999542236328</v>
      </c>
      <c r="O9" s="556"/>
      <c r="P9" s="573">
        <v>15.050000190734863</v>
      </c>
      <c r="Q9" s="556"/>
      <c r="R9" s="573">
        <v>13.029999732971191</v>
      </c>
      <c r="S9" s="556"/>
      <c r="T9" s="573">
        <v>12.640000343322754</v>
      </c>
      <c r="U9" s="556"/>
      <c r="V9" s="573">
        <v>39.13999938964844</v>
      </c>
      <c r="W9" s="556"/>
      <c r="X9" s="573">
        <v>39.66999816894531</v>
      </c>
      <c r="Y9" s="556"/>
      <c r="Z9" s="573">
        <v>43.04999923706055</v>
      </c>
      <c r="AA9" s="556"/>
      <c r="AB9" s="573">
        <v>45.91999816894531</v>
      </c>
      <c r="AC9" s="556"/>
      <c r="AD9" s="573">
        <v>47.13999938964844</v>
      </c>
      <c r="AE9" s="556"/>
      <c r="AF9" s="573">
        <v>45.49956512451172</v>
      </c>
      <c r="AG9" s="556"/>
      <c r="AH9" s="573">
        <v>44.56999969482422</v>
      </c>
      <c r="AI9" s="556"/>
      <c r="AJ9" s="573">
        <v>45.689998626708984</v>
      </c>
      <c r="AK9" s="556"/>
      <c r="AL9" s="573">
        <v>47.885440826416016</v>
      </c>
      <c r="AM9" s="556"/>
      <c r="AN9" s="573">
        <v>46.130001068115234</v>
      </c>
      <c r="AO9" s="556"/>
      <c r="AP9" s="573">
        <v>45.95000076293945</v>
      </c>
      <c r="AQ9" s="556"/>
      <c r="AR9" s="573"/>
      <c r="AS9" s="556"/>
      <c r="AT9" s="573"/>
      <c r="AU9" s="556"/>
      <c r="AV9" s="573"/>
      <c r="AW9" s="556"/>
      <c r="AY9" s="173"/>
      <c r="AZ9" s="565">
        <v>2</v>
      </c>
      <c r="BA9" s="613" t="s">
        <v>15</v>
      </c>
      <c r="BB9" s="565" t="s">
        <v>299</v>
      </c>
      <c r="BC9" s="81" t="s">
        <v>82</v>
      </c>
      <c r="BD9" s="578"/>
      <c r="BE9" s="79" t="str">
        <f>IF(OR(ISBLANK(F9),ISBLANK(H9)),"N/A",IF(ABS((H9-F9)/F9)&gt;1,"&gt; 100%","ok"))</f>
        <v>ok</v>
      </c>
      <c r="BF9" s="578"/>
      <c r="BG9" s="82" t="str">
        <f aca="true" t="shared" si="0" ref="BG9:BG19">IF(OR(ISBLANK(H9),ISBLANK(J9)),"N/A",IF(ABS((J9-H9)/H9)&gt;1,"&gt; 100%","ok"))</f>
        <v>ok</v>
      </c>
      <c r="BH9" s="82"/>
      <c r="BI9" s="82" t="str">
        <f>IF(OR(ISBLANK(J9),ISBLANK(L9)),"N/A",IF(ABS((L9-J9)/J9)&gt;0.25,"&gt; 25%","ok"))</f>
        <v>ok</v>
      </c>
      <c r="BJ9" s="82"/>
      <c r="BK9" s="82" t="str">
        <f>IF(OR(ISBLANK(L9),ISBLANK(N9)),"N/A",IF(ABS((N9-L9)/L9)&gt;0.25,"&gt; 25%","ok"))</f>
        <v>ok</v>
      </c>
      <c r="BL9" s="82"/>
      <c r="BM9" s="82" t="str">
        <f>IF(OR(ISBLANK(N9),ISBLANK(P9)),"N/A",IF(ABS((P9-N9)/N9)&gt;0.25,"&gt; 25%","ok"))</f>
        <v>&gt; 25%</v>
      </c>
      <c r="BN9" s="82"/>
      <c r="BO9" s="82" t="str">
        <f>IF(OR(ISBLANK(P9),ISBLANK(R9)),"N/A",IF(ABS((R9-P9)/P9)&gt;0.25,"&gt; 25%","ok"))</f>
        <v>ok</v>
      </c>
      <c r="BP9" s="82"/>
      <c r="BQ9" s="82" t="str">
        <f>IF(OR(ISBLANK(R9),ISBLANK(T9)),"N/A",IF(ABS((T9-R9)/R9)&gt;0.25,"&gt; 25%","ok"))</f>
        <v>ok</v>
      </c>
      <c r="BR9" s="82"/>
      <c r="BS9" s="82" t="str">
        <f>IF(OR(ISBLANK(T9),ISBLANK(V9)),"N/A",IF(ABS((V9-T9)/T9)&gt;0.25,"&gt; 25%","ok"))</f>
        <v>&gt; 25%</v>
      </c>
      <c r="BT9" s="82"/>
      <c r="BU9" s="82" t="str">
        <f>IF(OR(ISBLANK(V9),ISBLANK(X9)),"N/A",IF(ABS((X9-V9)/V9)&gt;0.25,"&gt; 25%","ok"))</f>
        <v>ok</v>
      </c>
      <c r="BV9" s="82"/>
      <c r="BW9" s="82" t="str">
        <f>IF(OR(ISBLANK(X9),ISBLANK(Z9)),"N/A",IF(ABS((Z9-X9)/X9)&gt;0.25,"&gt; 25%","ok"))</f>
        <v>ok</v>
      </c>
      <c r="BX9" s="82"/>
      <c r="BY9" s="82" t="str">
        <f>IF(OR(ISBLANK(Z9),ISBLANK(AB9)),"N/A",IF(ABS((AB9-Z9)/Z9)&gt;0.25,"&gt; 25%","ok"))</f>
        <v>ok</v>
      </c>
      <c r="BZ9" s="82"/>
      <c r="CA9" s="82" t="str">
        <f>IF(OR(ISBLANK(AB9),ISBLANK(AD9)),"N/A",IF(ABS((AD9-AB9)/AB9)&gt;0.25,"&gt; 25%","ok"))</f>
        <v>ok</v>
      </c>
      <c r="CB9" s="82"/>
      <c r="CC9" s="82" t="str">
        <f>IF(OR(ISBLANK(AD9),ISBLANK(AF9)),"N/A",IF(ABS((AF9-AD9)/AD9)&gt;0.25,"&gt; 25%","ok"))</f>
        <v>ok</v>
      </c>
      <c r="CD9" s="82"/>
      <c r="CE9" s="82" t="str">
        <f>IF(OR(ISBLANK(AF9),ISBLANK(AH9)),"N/A",IF(ABS((AH9-AF9)/AF9)&gt;0.25,"&gt; 25%","ok"))</f>
        <v>ok</v>
      </c>
      <c r="CF9" s="82"/>
      <c r="CG9" s="82" t="str">
        <f>IF(OR(ISBLANK(AH9),ISBLANK(AJ9)),"N/A",IF(ABS((AJ9-AH9)/AH9)&gt;0.25,"&gt; 25%","ok"))</f>
        <v>ok</v>
      </c>
      <c r="CH9" s="82"/>
      <c r="CI9" s="82" t="str">
        <f>IF(OR(ISBLANK(AJ9),ISBLANK(AL9)),"N/A",IF(ABS((AL9-AJ9)/AJ9)&gt;0.25,"&gt; 25%","ok"))</f>
        <v>ok</v>
      </c>
      <c r="CJ9" s="82"/>
      <c r="CK9" s="82" t="str">
        <f>IF(OR(ISBLANK(AL9),ISBLANK(AN9)),"N/A",IF(ABS((AN9-AL9)/AL9)&gt;0.25,"&gt; 25%","ok"))</f>
        <v>ok</v>
      </c>
      <c r="CL9" s="82"/>
      <c r="CM9" s="82" t="str">
        <f aca="true" t="shared" si="1" ref="CM9:CM23">IF(OR(ISBLANK(AN9),ISBLANK(AP9)),"N/A",IF(ABS((AP9-AN9)/AN9)&gt;0.25,"&gt; 25%","ok"))</f>
        <v>ok</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19" customFormat="1" ht="35.25" customHeight="1">
      <c r="A10" s="418" t="s">
        <v>66</v>
      </c>
      <c r="B10" s="219">
        <v>29</v>
      </c>
      <c r="C10" s="354">
        <v>3</v>
      </c>
      <c r="D10" s="236" t="s">
        <v>538</v>
      </c>
      <c r="E10" s="237" t="s">
        <v>299</v>
      </c>
      <c r="F10" s="573">
        <v>14.319999694824219</v>
      </c>
      <c r="G10" s="556"/>
      <c r="H10" s="573">
        <v>18.209999084472656</v>
      </c>
      <c r="I10" s="556"/>
      <c r="J10" s="573">
        <v>16.329999923706055</v>
      </c>
      <c r="K10" s="556"/>
      <c r="L10" s="573">
        <v>17.579999923706055</v>
      </c>
      <c r="M10" s="556"/>
      <c r="N10" s="573">
        <v>17.579999923706055</v>
      </c>
      <c r="O10" s="556"/>
      <c r="P10" s="573">
        <v>18.809999465942383</v>
      </c>
      <c r="Q10" s="556"/>
      <c r="R10" s="573">
        <v>15.739999771118164</v>
      </c>
      <c r="S10" s="556"/>
      <c r="T10" s="573">
        <v>27.229999542236328</v>
      </c>
      <c r="U10" s="556"/>
      <c r="V10" s="573">
        <v>24.520000457763672</v>
      </c>
      <c r="W10" s="556"/>
      <c r="X10" s="573">
        <v>24.8700008392334</v>
      </c>
      <c r="Y10" s="556"/>
      <c r="Z10" s="573">
        <v>23.549999237060547</v>
      </c>
      <c r="AA10" s="556"/>
      <c r="AB10" s="573">
        <v>24.520000457763672</v>
      </c>
      <c r="AC10" s="556"/>
      <c r="AD10" s="573">
        <v>24.75</v>
      </c>
      <c r="AE10" s="556"/>
      <c r="AF10" s="573">
        <v>25.110000610351562</v>
      </c>
      <c r="AG10" s="556"/>
      <c r="AH10" s="573">
        <v>25.8700008392334</v>
      </c>
      <c r="AI10" s="556"/>
      <c r="AJ10" s="573">
        <v>26.200000762939453</v>
      </c>
      <c r="AK10" s="556"/>
      <c r="AL10" s="573">
        <v>24.68000030517578</v>
      </c>
      <c r="AM10" s="556"/>
      <c r="AN10" s="573">
        <v>24.309999465942383</v>
      </c>
      <c r="AO10" s="556"/>
      <c r="AP10" s="573">
        <v>25.940000534057617</v>
      </c>
      <c r="AQ10" s="556"/>
      <c r="AR10" s="573"/>
      <c r="AS10" s="556"/>
      <c r="AT10" s="573"/>
      <c r="AU10" s="556"/>
      <c r="AV10" s="573"/>
      <c r="AW10" s="556"/>
      <c r="AY10" s="420"/>
      <c r="AZ10" s="605">
        <v>3</v>
      </c>
      <c r="BA10" s="612" t="s">
        <v>538</v>
      </c>
      <c r="BB10" s="565" t="s">
        <v>299</v>
      </c>
      <c r="BC10" s="81" t="s">
        <v>82</v>
      </c>
      <c r="BD10" s="578"/>
      <c r="BE10" s="82" t="str">
        <f>IF(OR(ISBLANK(F10),ISBLANK(H10)),"N/A",IF(ABS((H10-F10)/F10)&gt;1,"&gt; 100%","ok"))</f>
        <v>ok</v>
      </c>
      <c r="BF10" s="578"/>
      <c r="BG10" s="82" t="str">
        <f t="shared" si="0"/>
        <v>ok</v>
      </c>
      <c r="BH10" s="82"/>
      <c r="BI10" s="82" t="str">
        <f>IF(OR(ISBLANK(J10),ISBLANK(L10)),"N/A",IF(ABS((L10-J10)/J10)&gt;0.25,"&gt; 25%","ok"))</f>
        <v>ok</v>
      </c>
      <c r="BJ10" s="82"/>
      <c r="BK10" s="82" t="str">
        <f>IF(OR(ISBLANK(L10),ISBLANK(N10)),"N/A",IF(ABS((N10-L10)/L10)&gt;0.25,"&gt; 25%","ok"))</f>
        <v>ok</v>
      </c>
      <c r="BL10" s="82"/>
      <c r="BM10" s="82" t="str">
        <f>IF(OR(ISBLANK(N10),ISBLANK(P10)),"N/A",IF(ABS((P10-N10)/N10)&gt;0.25,"&gt; 25%","ok"))</f>
        <v>ok</v>
      </c>
      <c r="BN10" s="82"/>
      <c r="BO10" s="82" t="str">
        <f>IF(OR(ISBLANK(P10),ISBLANK(R10)),"N/A",IF(ABS((R10-P10)/P10)&gt;0.25,"&gt; 25%","ok"))</f>
        <v>ok</v>
      </c>
      <c r="BP10" s="82"/>
      <c r="BQ10" s="82" t="str">
        <f>IF(OR(ISBLANK(R10),ISBLANK(T10)),"N/A",IF(ABS((T10-R10)/R10)&gt;0.25,"&gt; 25%","ok"))</f>
        <v>&gt; 25%</v>
      </c>
      <c r="BR10" s="82"/>
      <c r="BS10" s="82" t="str">
        <f>IF(OR(ISBLANK(T10),ISBLANK(V10)),"N/A",IF(ABS((V10-T10)/T10)&gt;0.25,"&gt; 25%","ok"))</f>
        <v>ok</v>
      </c>
      <c r="BT10" s="82"/>
      <c r="BU10" s="82" t="str">
        <f>IF(OR(ISBLANK(V10),ISBLANK(X10)),"N/A",IF(ABS((X10-V10)/V10)&gt;0.25,"&gt; 25%","ok"))</f>
        <v>ok</v>
      </c>
      <c r="BV10" s="82"/>
      <c r="BW10" s="82" t="str">
        <f>IF(OR(ISBLANK(X10),ISBLANK(Z10)),"N/A",IF(ABS((Z10-X10)/X10)&gt;0.25,"&gt; 25%","ok"))</f>
        <v>ok</v>
      </c>
      <c r="BX10" s="82"/>
      <c r="BY10" s="82" t="str">
        <f>IF(OR(ISBLANK(Z10),ISBLANK(AB10)),"N/A",IF(ABS((AB10-Z10)/Z10)&gt;0.25,"&gt; 25%","ok"))</f>
        <v>ok</v>
      </c>
      <c r="BZ10" s="82"/>
      <c r="CA10" s="82" t="str">
        <f>IF(OR(ISBLANK(AB10),ISBLANK(AD10)),"N/A",IF(ABS((AD10-AB10)/AB10)&gt;0.25,"&gt; 25%","ok"))</f>
        <v>ok</v>
      </c>
      <c r="CB10" s="82"/>
      <c r="CC10" s="82" t="str">
        <f>IF(OR(ISBLANK(AD10),ISBLANK(AF10)),"N/A",IF(ABS((AF10-AD10)/AD10)&gt;0.25,"&gt; 25%","ok"))</f>
        <v>ok</v>
      </c>
      <c r="CD10" s="82"/>
      <c r="CE10" s="82" t="str">
        <f>IF(OR(ISBLANK(AF10),ISBLANK(AH10)),"N/A",IF(ABS((AH10-AF10)/AF10)&gt;0.25,"&gt; 25%","ok"))</f>
        <v>ok</v>
      </c>
      <c r="CF10" s="82"/>
      <c r="CG10" s="82" t="str">
        <f>IF(OR(ISBLANK(AH10),ISBLANK(AJ10)),"N/A",IF(ABS((AJ10-AH10)/AH10)&gt;0.25,"&gt; 25%","ok"))</f>
        <v>ok</v>
      </c>
      <c r="CH10" s="82"/>
      <c r="CI10" s="82" t="str">
        <f>IF(OR(ISBLANK(AJ10),ISBLANK(AL10)),"N/A",IF(ABS((AL10-AJ10)/AJ10)&gt;0.25,"&gt; 25%","ok"))</f>
        <v>ok</v>
      </c>
      <c r="CJ10" s="82"/>
      <c r="CK10" s="82" t="str">
        <f>IF(OR(ISBLANK(AL10),ISBLANK(AN10)),"N/A",IF(ABS((AN10-AL10)/AL10)&gt;0.25,"&gt; 25%","ok"))</f>
        <v>ok</v>
      </c>
      <c r="CL10" s="82"/>
      <c r="CM10" s="82" t="str">
        <f t="shared" si="1"/>
        <v>ok</v>
      </c>
      <c r="CN10" s="82"/>
      <c r="CO10" s="82" t="str">
        <f t="shared" si="2"/>
        <v>N/A</v>
      </c>
      <c r="CP10" s="82"/>
      <c r="CQ10" s="82" t="str">
        <f t="shared" si="3"/>
        <v>N/A</v>
      </c>
      <c r="CR10" s="82"/>
      <c r="CS10" s="82" t="str">
        <f t="shared" si="4"/>
        <v>N/A</v>
      </c>
      <c r="CT10" s="82"/>
    </row>
    <row r="11" spans="1:98" s="419" customFormat="1" ht="15" customHeight="1">
      <c r="A11" s="421"/>
      <c r="B11" s="219">
        <v>5008</v>
      </c>
      <c r="C11" s="603"/>
      <c r="D11" s="604" t="s">
        <v>16</v>
      </c>
      <c r="E11" s="605"/>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20"/>
      <c r="AZ11" s="603"/>
      <c r="BA11" s="604" t="s">
        <v>16</v>
      </c>
      <c r="BB11" s="605"/>
      <c r="BC11" s="96"/>
      <c r="BD11" s="577"/>
      <c r="BE11" s="79"/>
      <c r="BF11" s="577"/>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24" customFormat="1" ht="15" customHeight="1">
      <c r="A12" s="212"/>
      <c r="B12" s="219">
        <v>38</v>
      </c>
      <c r="C12" s="222">
        <v>4</v>
      </c>
      <c r="D12" s="423" t="s">
        <v>317</v>
      </c>
      <c r="E12" s="228" t="s">
        <v>299</v>
      </c>
      <c r="F12" s="544">
        <v>10.300000190734863</v>
      </c>
      <c r="G12" s="554"/>
      <c r="H12" s="544">
        <v>10.739999771118164</v>
      </c>
      <c r="I12" s="554"/>
      <c r="J12" s="544">
        <v>8.819999694824219</v>
      </c>
      <c r="K12" s="554"/>
      <c r="L12" s="544">
        <v>10.170000076293945</v>
      </c>
      <c r="M12" s="554"/>
      <c r="N12" s="544">
        <v>11.260000228881836</v>
      </c>
      <c r="O12" s="554"/>
      <c r="P12" s="544">
        <v>10.600000381469727</v>
      </c>
      <c r="Q12" s="554"/>
      <c r="R12" s="544">
        <v>9.9399995803833</v>
      </c>
      <c r="S12" s="554"/>
      <c r="T12" s="544">
        <v>18.469999313354492</v>
      </c>
      <c r="U12" s="554"/>
      <c r="V12" s="544">
        <v>16.559999465942383</v>
      </c>
      <c r="W12" s="554"/>
      <c r="X12" s="544">
        <v>17.389999389648438</v>
      </c>
      <c r="Y12" s="554"/>
      <c r="Z12" s="544">
        <v>16.170000076293945</v>
      </c>
      <c r="AA12" s="554"/>
      <c r="AB12" s="544">
        <v>17.770000457763672</v>
      </c>
      <c r="AC12" s="554"/>
      <c r="AD12" s="544">
        <v>17.860000610351562</v>
      </c>
      <c r="AE12" s="554"/>
      <c r="AF12" s="544">
        <v>18.649999618530273</v>
      </c>
      <c r="AG12" s="554"/>
      <c r="AH12" s="544">
        <v>18.68000030517578</v>
      </c>
      <c r="AI12" s="554"/>
      <c r="AJ12" s="544">
        <v>18.899999618530273</v>
      </c>
      <c r="AK12" s="554"/>
      <c r="AL12" s="544">
        <v>18.1200008392334</v>
      </c>
      <c r="AM12" s="554"/>
      <c r="AN12" s="544">
        <v>18.540000915527344</v>
      </c>
      <c r="AO12" s="554"/>
      <c r="AP12" s="544">
        <v>19.360000610351562</v>
      </c>
      <c r="AQ12" s="554"/>
      <c r="AR12" s="544">
        <v>19.040000915527344</v>
      </c>
      <c r="AS12" s="554"/>
      <c r="AT12" s="544"/>
      <c r="AU12" s="554"/>
      <c r="AV12" s="544"/>
      <c r="AW12" s="554"/>
      <c r="AY12" s="425"/>
      <c r="AZ12" s="608">
        <v>4</v>
      </c>
      <c r="BA12" s="614" t="s">
        <v>317</v>
      </c>
      <c r="BB12" s="565" t="s">
        <v>299</v>
      </c>
      <c r="BC12" s="79" t="s">
        <v>82</v>
      </c>
      <c r="BD12" s="577"/>
      <c r="BE12" s="79" t="str">
        <f aca="true" t="shared" si="5" ref="BE12:BE19">IF(OR(ISBLANK(F12),ISBLANK(H12)),"N/A",IF(ABS((H12-F12)/F12)&gt;1,"&gt; 100%","ok"))</f>
        <v>ok</v>
      </c>
      <c r="BF12" s="577"/>
      <c r="BG12" s="82" t="str">
        <f t="shared" si="0"/>
        <v>ok</v>
      </c>
      <c r="BH12" s="82"/>
      <c r="BI12" s="82" t="str">
        <f aca="true" t="shared" si="6" ref="BI12:BI19">IF(OR(ISBLANK(J12),ISBLANK(L12)),"N/A",IF(ABS((L12-J12)/J12)&gt;0.25,"&gt; 25%","ok"))</f>
        <v>ok</v>
      </c>
      <c r="BJ12" s="82"/>
      <c r="BK12" s="82" t="str">
        <f aca="true" t="shared" si="7" ref="BK12:BK19">IF(OR(ISBLANK(L12),ISBLANK(N12)),"N/A",IF(ABS((N12-L12)/L12)&gt;0.25,"&gt; 25%","ok"))</f>
        <v>ok</v>
      </c>
      <c r="BL12" s="82"/>
      <c r="BM12" s="82" t="str">
        <f aca="true" t="shared" si="8" ref="BM12:BM19">IF(OR(ISBLANK(N12),ISBLANK(P12)),"N/A",IF(ABS((P12-N12)/N12)&gt;0.25,"&gt; 25%","ok"))</f>
        <v>ok</v>
      </c>
      <c r="BN12" s="82"/>
      <c r="BO12" s="82" t="str">
        <f aca="true" t="shared" si="9" ref="BO12:BO19">IF(OR(ISBLANK(P12),ISBLANK(R12)),"N/A",IF(ABS((R12-P12)/P12)&gt;0.25,"&gt; 25%","ok"))</f>
        <v>ok</v>
      </c>
      <c r="BP12" s="82"/>
      <c r="BQ12" s="82" t="str">
        <f aca="true" t="shared" si="10" ref="BQ12:BQ19">IF(OR(ISBLANK(R12),ISBLANK(T12)),"N/A",IF(ABS((T12-R12)/R12)&gt;0.25,"&gt; 25%","ok"))</f>
        <v>&gt; 25%</v>
      </c>
      <c r="BR12" s="82"/>
      <c r="BS12" s="82" t="str">
        <f aca="true" t="shared" si="11" ref="BS12:BS19">IF(OR(ISBLANK(T12),ISBLANK(V12)),"N/A",IF(ABS((V12-T12)/T12)&gt;0.25,"&gt; 25%","ok"))</f>
        <v>ok</v>
      </c>
      <c r="BT12" s="82"/>
      <c r="BU12" s="82" t="str">
        <f aca="true" t="shared" si="12" ref="BU12:BU19">IF(OR(ISBLANK(V12),ISBLANK(X12)),"N/A",IF(ABS((X12-V12)/V12)&gt;0.25,"&gt; 25%","ok"))</f>
        <v>ok</v>
      </c>
      <c r="BV12" s="82"/>
      <c r="BW12" s="82" t="str">
        <f aca="true" t="shared" si="13" ref="BW12:BW19">IF(OR(ISBLANK(X12),ISBLANK(Z12)),"N/A",IF(ABS((Z12-X12)/X12)&gt;0.25,"&gt; 25%","ok"))</f>
        <v>ok</v>
      </c>
      <c r="BX12" s="82"/>
      <c r="BY12" s="82" t="str">
        <f aca="true" t="shared" si="14" ref="BY12:BY19">IF(OR(ISBLANK(Z12),ISBLANK(AB12)),"N/A",IF(ABS((AB12-Z12)/Z12)&gt;0.25,"&gt; 25%","ok"))</f>
        <v>ok</v>
      </c>
      <c r="BZ12" s="82"/>
      <c r="CA12" s="82" t="str">
        <f aca="true" t="shared" si="15" ref="CA12:CA19">IF(OR(ISBLANK(AB12),ISBLANK(AD12)),"N/A",IF(ABS((AD12-AB12)/AB12)&gt;0.25,"&gt; 25%","ok"))</f>
        <v>ok</v>
      </c>
      <c r="CB12" s="82"/>
      <c r="CC12" s="82" t="str">
        <f aca="true" t="shared" si="16" ref="CC12:CC19">IF(OR(ISBLANK(AD12),ISBLANK(AF12)),"N/A",IF(ABS((AF12-AD12)/AD12)&gt;0.25,"&gt; 25%","ok"))</f>
        <v>ok</v>
      </c>
      <c r="CD12" s="82"/>
      <c r="CE12" s="82" t="str">
        <f aca="true" t="shared" si="17" ref="CE12:CE19">IF(OR(ISBLANK(AF12),ISBLANK(AH12)),"N/A",IF(ABS((AH12-AF12)/AF12)&gt;0.25,"&gt; 25%","ok"))</f>
        <v>ok</v>
      </c>
      <c r="CF12" s="82"/>
      <c r="CG12" s="82" t="str">
        <f aca="true" t="shared" si="18" ref="CG12:CG19">IF(OR(ISBLANK(AH12),ISBLANK(AJ12)),"N/A",IF(ABS((AJ12-AH12)/AH12)&gt;0.25,"&gt; 25%","ok"))</f>
        <v>ok</v>
      </c>
      <c r="CH12" s="82"/>
      <c r="CI12" s="82" t="str">
        <f aca="true" t="shared" si="19" ref="CI12:CI19">IF(OR(ISBLANK(AJ12),ISBLANK(AL12)),"N/A",IF(ABS((AL12-AJ12)/AJ12)&gt;0.25,"&gt; 25%","ok"))</f>
        <v>ok</v>
      </c>
      <c r="CJ12" s="82"/>
      <c r="CK12" s="82" t="str">
        <f aca="true" t="shared" si="20" ref="CK12:CK19">IF(OR(ISBLANK(AL12),ISBLANK(AN12)),"N/A",IF(ABS((AN12-AL12)/AL12)&gt;0.25,"&gt; 25%","ok"))</f>
        <v>ok</v>
      </c>
      <c r="CL12" s="82"/>
      <c r="CM12" s="82" t="str">
        <f t="shared" si="1"/>
        <v>ok</v>
      </c>
      <c r="CN12" s="82"/>
      <c r="CO12" s="82" t="str">
        <f t="shared" si="2"/>
        <v>ok</v>
      </c>
      <c r="CP12" s="82"/>
      <c r="CQ12" s="82" t="str">
        <f t="shared" si="3"/>
        <v>N/A</v>
      </c>
      <c r="CR12" s="82"/>
      <c r="CS12" s="82" t="str">
        <f t="shared" si="4"/>
        <v>N/A</v>
      </c>
      <c r="CT12" s="82"/>
    </row>
    <row r="13" spans="2:98" ht="15" customHeight="1">
      <c r="B13" s="219">
        <v>81</v>
      </c>
      <c r="C13" s="237">
        <v>5</v>
      </c>
      <c r="D13" s="427" t="s">
        <v>117</v>
      </c>
      <c r="E13" s="228"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Z13" s="565">
        <v>5</v>
      </c>
      <c r="BA13" s="615" t="s">
        <v>117</v>
      </c>
      <c r="BB13" s="565" t="s">
        <v>299</v>
      </c>
      <c r="BC13" s="81" t="s">
        <v>82</v>
      </c>
      <c r="BD13" s="578"/>
      <c r="BE13" s="79" t="str">
        <f t="shared" si="5"/>
        <v>N/A</v>
      </c>
      <c r="BF13" s="57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42</v>
      </c>
      <c r="C14" s="237">
        <v>6</v>
      </c>
      <c r="D14" s="427" t="s">
        <v>520</v>
      </c>
      <c r="E14" s="228" t="s">
        <v>299</v>
      </c>
      <c r="F14" s="572"/>
      <c r="G14" s="555"/>
      <c r="H14" s="572"/>
      <c r="I14" s="555"/>
      <c r="J14" s="572"/>
      <c r="K14" s="555"/>
      <c r="L14" s="572"/>
      <c r="M14" s="555"/>
      <c r="N14" s="572"/>
      <c r="O14" s="555"/>
      <c r="P14" s="572"/>
      <c r="Q14" s="555"/>
      <c r="R14" s="572"/>
      <c r="S14" s="555"/>
      <c r="T14" s="572"/>
      <c r="U14" s="555"/>
      <c r="V14" s="572"/>
      <c r="W14" s="555"/>
      <c r="X14" s="572"/>
      <c r="Y14" s="555"/>
      <c r="Z14" s="572"/>
      <c r="AA14" s="555"/>
      <c r="AB14" s="572"/>
      <c r="AC14" s="555"/>
      <c r="AD14" s="572"/>
      <c r="AE14" s="555"/>
      <c r="AF14" s="572"/>
      <c r="AG14" s="555"/>
      <c r="AH14" s="572"/>
      <c r="AI14" s="555"/>
      <c r="AJ14" s="572"/>
      <c r="AK14" s="555"/>
      <c r="AL14" s="572"/>
      <c r="AM14" s="555"/>
      <c r="AN14" s="572"/>
      <c r="AO14" s="555"/>
      <c r="AP14" s="572"/>
      <c r="AQ14" s="555"/>
      <c r="AR14" s="572"/>
      <c r="AS14" s="555"/>
      <c r="AT14" s="572"/>
      <c r="AU14" s="555"/>
      <c r="AV14" s="572"/>
      <c r="AW14" s="555"/>
      <c r="AZ14" s="565">
        <v>6</v>
      </c>
      <c r="BA14" s="615" t="s">
        <v>520</v>
      </c>
      <c r="BB14" s="565" t="s">
        <v>299</v>
      </c>
      <c r="BC14" s="81"/>
      <c r="BD14" s="578"/>
      <c r="BE14" s="79" t="str">
        <f t="shared" si="5"/>
        <v>N/A</v>
      </c>
      <c r="BF14" s="57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5" customHeight="1">
      <c r="B15" s="219">
        <v>33</v>
      </c>
      <c r="C15" s="237">
        <v>7</v>
      </c>
      <c r="D15" s="427" t="s">
        <v>489</v>
      </c>
      <c r="E15" s="228" t="s">
        <v>299</v>
      </c>
      <c r="F15" s="572"/>
      <c r="G15" s="555"/>
      <c r="H15" s="572"/>
      <c r="I15" s="555"/>
      <c r="J15" s="572"/>
      <c r="K15" s="555"/>
      <c r="L15" s="572"/>
      <c r="M15" s="555"/>
      <c r="N15" s="572"/>
      <c r="O15" s="555"/>
      <c r="P15" s="572"/>
      <c r="Q15" s="555"/>
      <c r="R15" s="572"/>
      <c r="S15" s="555"/>
      <c r="T15" s="572"/>
      <c r="U15" s="555"/>
      <c r="V15" s="572"/>
      <c r="W15" s="555"/>
      <c r="X15" s="572"/>
      <c r="Y15" s="555"/>
      <c r="Z15" s="572"/>
      <c r="AA15" s="555"/>
      <c r="AB15" s="572"/>
      <c r="AC15" s="555"/>
      <c r="AD15" s="572"/>
      <c r="AE15" s="555"/>
      <c r="AF15" s="572"/>
      <c r="AG15" s="555"/>
      <c r="AH15" s="572"/>
      <c r="AI15" s="555"/>
      <c r="AJ15" s="572"/>
      <c r="AK15" s="555"/>
      <c r="AL15" s="572"/>
      <c r="AM15" s="555"/>
      <c r="AN15" s="572"/>
      <c r="AO15" s="555"/>
      <c r="AP15" s="572"/>
      <c r="AQ15" s="555"/>
      <c r="AR15" s="572"/>
      <c r="AS15" s="555"/>
      <c r="AT15" s="572"/>
      <c r="AU15" s="555"/>
      <c r="AV15" s="572"/>
      <c r="AW15" s="555"/>
      <c r="AZ15" s="565">
        <v>7</v>
      </c>
      <c r="BA15" s="615" t="s">
        <v>489</v>
      </c>
      <c r="BB15" s="565" t="s">
        <v>299</v>
      </c>
      <c r="BC15" s="81" t="s">
        <v>82</v>
      </c>
      <c r="BD15" s="578"/>
      <c r="BE15" s="79" t="str">
        <f t="shared" si="5"/>
        <v>N/A</v>
      </c>
      <c r="BF15" s="57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21.75" customHeight="1">
      <c r="B16" s="219">
        <v>44</v>
      </c>
      <c r="C16" s="222">
        <v>8</v>
      </c>
      <c r="D16" s="423" t="s">
        <v>517</v>
      </c>
      <c r="E16" s="228" t="s">
        <v>299</v>
      </c>
      <c r="F16" s="572"/>
      <c r="G16" s="555"/>
      <c r="H16" s="572"/>
      <c r="I16" s="555"/>
      <c r="J16" s="572"/>
      <c r="K16" s="555"/>
      <c r="L16" s="572"/>
      <c r="M16" s="555"/>
      <c r="N16" s="572"/>
      <c r="O16" s="555"/>
      <c r="P16" s="572"/>
      <c r="Q16" s="555"/>
      <c r="R16" s="572"/>
      <c r="S16" s="555"/>
      <c r="T16" s="572"/>
      <c r="U16" s="555"/>
      <c r="V16" s="572"/>
      <c r="W16" s="555"/>
      <c r="X16" s="572"/>
      <c r="Y16" s="555"/>
      <c r="Z16" s="572"/>
      <c r="AA16" s="555"/>
      <c r="AB16" s="572"/>
      <c r="AC16" s="555"/>
      <c r="AD16" s="572"/>
      <c r="AE16" s="555"/>
      <c r="AF16" s="572"/>
      <c r="AG16" s="555"/>
      <c r="AH16" s="572"/>
      <c r="AI16" s="555"/>
      <c r="AJ16" s="572"/>
      <c r="AK16" s="555"/>
      <c r="AL16" s="572"/>
      <c r="AM16" s="555"/>
      <c r="AN16" s="572"/>
      <c r="AO16" s="555"/>
      <c r="AP16" s="572"/>
      <c r="AQ16" s="555"/>
      <c r="AR16" s="572"/>
      <c r="AS16" s="555"/>
      <c r="AT16" s="572"/>
      <c r="AU16" s="555"/>
      <c r="AV16" s="572"/>
      <c r="AW16" s="555"/>
      <c r="AZ16" s="608">
        <v>8</v>
      </c>
      <c r="BA16" s="616" t="s">
        <v>522</v>
      </c>
      <c r="BB16" s="565" t="s">
        <v>299</v>
      </c>
      <c r="BC16" s="81"/>
      <c r="BD16" s="578"/>
      <c r="BE16" s="79" t="str">
        <f t="shared" si="5"/>
        <v>N/A</v>
      </c>
      <c r="BF16" s="57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33.75" customHeight="1">
      <c r="B17" s="219">
        <v>82</v>
      </c>
      <c r="C17" s="222">
        <v>9</v>
      </c>
      <c r="D17" s="632" t="s">
        <v>561</v>
      </c>
      <c r="E17" s="228" t="s">
        <v>299</v>
      </c>
      <c r="F17" s="572"/>
      <c r="G17" s="555"/>
      <c r="H17" s="572"/>
      <c r="I17" s="555"/>
      <c r="J17" s="572"/>
      <c r="K17" s="555"/>
      <c r="L17" s="572"/>
      <c r="M17" s="555"/>
      <c r="N17" s="572"/>
      <c r="O17" s="555"/>
      <c r="P17" s="572"/>
      <c r="Q17" s="555"/>
      <c r="R17" s="572"/>
      <c r="S17" s="555"/>
      <c r="T17" s="572"/>
      <c r="U17" s="555"/>
      <c r="V17" s="572"/>
      <c r="W17" s="555"/>
      <c r="X17" s="572"/>
      <c r="Y17" s="555"/>
      <c r="Z17" s="572"/>
      <c r="AA17" s="555"/>
      <c r="AB17" s="572"/>
      <c r="AC17" s="555"/>
      <c r="AD17" s="572"/>
      <c r="AE17" s="555"/>
      <c r="AF17" s="572"/>
      <c r="AG17" s="555"/>
      <c r="AH17" s="572"/>
      <c r="AI17" s="555"/>
      <c r="AJ17" s="572"/>
      <c r="AK17" s="555"/>
      <c r="AL17" s="572"/>
      <c r="AM17" s="555"/>
      <c r="AN17" s="572"/>
      <c r="AO17" s="555"/>
      <c r="AP17" s="572"/>
      <c r="AQ17" s="555"/>
      <c r="AR17" s="572"/>
      <c r="AS17" s="555"/>
      <c r="AT17" s="572"/>
      <c r="AU17" s="555"/>
      <c r="AV17" s="572"/>
      <c r="AW17" s="555"/>
      <c r="AZ17" s="608">
        <v>9</v>
      </c>
      <c r="BA17" s="617" t="s">
        <v>561</v>
      </c>
      <c r="BB17" s="565" t="s">
        <v>299</v>
      </c>
      <c r="BC17" s="81" t="s">
        <v>82</v>
      </c>
      <c r="BD17" s="578"/>
      <c r="BE17" s="79" t="str">
        <f t="shared" si="5"/>
        <v>N/A</v>
      </c>
      <c r="BF17" s="57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24" customHeight="1">
      <c r="B18" s="219">
        <v>46</v>
      </c>
      <c r="C18" s="222">
        <v>10</v>
      </c>
      <c r="D18" s="423" t="s">
        <v>518</v>
      </c>
      <c r="E18" s="228" t="s">
        <v>299</v>
      </c>
      <c r="F18" s="574"/>
      <c r="G18" s="560"/>
      <c r="H18" s="574"/>
      <c r="I18" s="560"/>
      <c r="J18" s="574"/>
      <c r="K18" s="560"/>
      <c r="L18" s="574"/>
      <c r="M18" s="560"/>
      <c r="N18" s="574"/>
      <c r="O18" s="560"/>
      <c r="P18" s="574"/>
      <c r="Q18" s="560"/>
      <c r="R18" s="574"/>
      <c r="S18" s="560"/>
      <c r="T18" s="574"/>
      <c r="U18" s="560"/>
      <c r="V18" s="574"/>
      <c r="W18" s="560"/>
      <c r="X18" s="574"/>
      <c r="Y18" s="560"/>
      <c r="Z18" s="574"/>
      <c r="AA18" s="560"/>
      <c r="AB18" s="574"/>
      <c r="AC18" s="560"/>
      <c r="AD18" s="574"/>
      <c r="AE18" s="560"/>
      <c r="AF18" s="574"/>
      <c r="AG18" s="560"/>
      <c r="AH18" s="574"/>
      <c r="AI18" s="560"/>
      <c r="AJ18" s="574"/>
      <c r="AK18" s="560"/>
      <c r="AL18" s="574"/>
      <c r="AM18" s="560"/>
      <c r="AN18" s="574"/>
      <c r="AO18" s="560"/>
      <c r="AP18" s="574"/>
      <c r="AQ18" s="560"/>
      <c r="AR18" s="574"/>
      <c r="AS18" s="560"/>
      <c r="AT18" s="574"/>
      <c r="AU18" s="560"/>
      <c r="AV18" s="574"/>
      <c r="AW18" s="560"/>
      <c r="AZ18" s="608">
        <v>10</v>
      </c>
      <c r="BA18" s="614" t="s">
        <v>518</v>
      </c>
      <c r="BB18" s="565" t="s">
        <v>299</v>
      </c>
      <c r="BC18" s="242"/>
      <c r="BD18" s="579"/>
      <c r="BE18" s="79" t="str">
        <f t="shared" si="5"/>
        <v>N/A</v>
      </c>
      <c r="BF18" s="578"/>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3" t="s">
        <v>318</v>
      </c>
      <c r="E19" s="228" t="s">
        <v>299</v>
      </c>
      <c r="F19" s="574"/>
      <c r="G19" s="560"/>
      <c r="H19" s="574"/>
      <c r="I19" s="560"/>
      <c r="J19" s="574"/>
      <c r="K19" s="560"/>
      <c r="L19" s="574"/>
      <c r="M19" s="560"/>
      <c r="N19" s="574"/>
      <c r="O19" s="560"/>
      <c r="P19" s="574"/>
      <c r="Q19" s="560"/>
      <c r="R19" s="574"/>
      <c r="S19" s="560"/>
      <c r="T19" s="574"/>
      <c r="U19" s="560"/>
      <c r="V19" s="574"/>
      <c r="W19" s="560"/>
      <c r="X19" s="574"/>
      <c r="Y19" s="560"/>
      <c r="Z19" s="574"/>
      <c r="AA19" s="560"/>
      <c r="AB19" s="574"/>
      <c r="AC19" s="560"/>
      <c r="AD19" s="574"/>
      <c r="AE19" s="560"/>
      <c r="AF19" s="574"/>
      <c r="AG19" s="560"/>
      <c r="AH19" s="574"/>
      <c r="AI19" s="560"/>
      <c r="AJ19" s="574"/>
      <c r="AK19" s="560"/>
      <c r="AL19" s="574"/>
      <c r="AM19" s="560"/>
      <c r="AN19" s="574"/>
      <c r="AO19" s="560"/>
      <c r="AP19" s="574"/>
      <c r="AQ19" s="560"/>
      <c r="AR19" s="574"/>
      <c r="AS19" s="560"/>
      <c r="AT19" s="574"/>
      <c r="AU19" s="560"/>
      <c r="AV19" s="574"/>
      <c r="AW19" s="560"/>
      <c r="AZ19" s="565">
        <v>11</v>
      </c>
      <c r="BA19" s="618" t="s">
        <v>318</v>
      </c>
      <c r="BB19" s="565" t="s">
        <v>299</v>
      </c>
      <c r="BC19" s="242" t="s">
        <v>82</v>
      </c>
      <c r="BD19" s="579"/>
      <c r="BE19" s="79" t="str">
        <f t="shared" si="5"/>
        <v>N/A</v>
      </c>
      <c r="BF19" s="579"/>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2:98" ht="12.75" customHeight="1">
      <c r="B20" s="163">
        <v>5009</v>
      </c>
      <c r="C20" s="242"/>
      <c r="D20" s="429" t="s">
        <v>488</v>
      </c>
      <c r="E20" s="563"/>
      <c r="F20" s="586"/>
      <c r="G20" s="587"/>
      <c r="H20" s="586"/>
      <c r="I20" s="587"/>
      <c r="J20" s="586"/>
      <c r="K20" s="587"/>
      <c r="L20" s="586"/>
      <c r="M20" s="587"/>
      <c r="N20" s="586"/>
      <c r="O20" s="587"/>
      <c r="P20" s="586"/>
      <c r="Q20" s="587"/>
      <c r="R20" s="586"/>
      <c r="S20" s="587"/>
      <c r="T20" s="586"/>
      <c r="U20" s="587"/>
      <c r="V20" s="586"/>
      <c r="W20" s="587"/>
      <c r="X20" s="586"/>
      <c r="Y20" s="587"/>
      <c r="Z20" s="586"/>
      <c r="AA20" s="587"/>
      <c r="AB20" s="586"/>
      <c r="AC20" s="587"/>
      <c r="AD20" s="586"/>
      <c r="AE20" s="587"/>
      <c r="AF20" s="586"/>
      <c r="AG20" s="587"/>
      <c r="AH20" s="586"/>
      <c r="AI20" s="587"/>
      <c r="AJ20" s="586"/>
      <c r="AK20" s="587"/>
      <c r="AL20" s="586"/>
      <c r="AM20" s="587"/>
      <c r="AN20" s="586"/>
      <c r="AO20" s="587"/>
      <c r="AP20" s="586"/>
      <c r="AQ20" s="587"/>
      <c r="AR20" s="586"/>
      <c r="AS20" s="587"/>
      <c r="AT20" s="586"/>
      <c r="AU20" s="587"/>
      <c r="AV20" s="586"/>
      <c r="AW20" s="587"/>
      <c r="AZ20" s="563"/>
      <c r="BA20" s="619" t="s">
        <v>488</v>
      </c>
      <c r="BB20" s="563"/>
      <c r="BC20" s="242" t="s">
        <v>82</v>
      </c>
      <c r="BD20" s="579"/>
      <c r="BE20" s="79"/>
      <c r="BF20" s="579"/>
      <c r="BG20" s="82"/>
      <c r="BH20" s="579"/>
      <c r="BI20" s="430"/>
      <c r="BJ20" s="579"/>
      <c r="BK20" s="242"/>
      <c r="BL20" s="579"/>
      <c r="BM20" s="242"/>
      <c r="BN20" s="579"/>
      <c r="BO20" s="242"/>
      <c r="BP20" s="579"/>
      <c r="BQ20" s="242"/>
      <c r="BR20" s="579"/>
      <c r="BS20" s="242"/>
      <c r="BT20" s="579"/>
      <c r="BU20" s="242"/>
      <c r="BV20" s="579"/>
      <c r="BW20" s="430"/>
      <c r="BX20" s="579"/>
      <c r="BY20" s="242"/>
      <c r="BZ20" s="579"/>
      <c r="CA20" s="242"/>
      <c r="CB20" s="579"/>
      <c r="CC20" s="242"/>
      <c r="CD20" s="579"/>
      <c r="CE20" s="82"/>
      <c r="CF20" s="579"/>
      <c r="CG20" s="242"/>
      <c r="CH20" s="579"/>
      <c r="CI20" s="242"/>
      <c r="CJ20" s="579"/>
      <c r="CK20" s="242"/>
      <c r="CL20" s="579"/>
      <c r="CM20" s="82"/>
      <c r="CN20" s="579"/>
      <c r="CO20" s="82"/>
      <c r="CP20" s="82"/>
      <c r="CQ20" s="82"/>
      <c r="CR20" s="82"/>
      <c r="CS20" s="82"/>
      <c r="CT20" s="82"/>
    </row>
    <row r="21" spans="1:98" s="431" customFormat="1" ht="27" customHeight="1">
      <c r="A21" s="368"/>
      <c r="B21" s="219">
        <v>277</v>
      </c>
      <c r="C21" s="354">
        <v>12</v>
      </c>
      <c r="D21" s="236" t="s">
        <v>17</v>
      </c>
      <c r="E21" s="228" t="s">
        <v>262</v>
      </c>
      <c r="F21" s="572"/>
      <c r="G21" s="555"/>
      <c r="H21" s="572"/>
      <c r="I21" s="555"/>
      <c r="J21" s="572"/>
      <c r="K21" s="555"/>
      <c r="L21" s="572"/>
      <c r="M21" s="555"/>
      <c r="N21" s="572"/>
      <c r="O21" s="555"/>
      <c r="P21" s="572"/>
      <c r="Q21" s="555"/>
      <c r="R21" s="572"/>
      <c r="S21" s="555"/>
      <c r="T21" s="572"/>
      <c r="U21" s="555"/>
      <c r="V21" s="572"/>
      <c r="W21" s="555"/>
      <c r="X21" s="572"/>
      <c r="Y21" s="555"/>
      <c r="Z21" s="572"/>
      <c r="AA21" s="555"/>
      <c r="AB21" s="572"/>
      <c r="AC21" s="555"/>
      <c r="AD21" s="572"/>
      <c r="AE21" s="555"/>
      <c r="AF21" s="572"/>
      <c r="AG21" s="555"/>
      <c r="AH21" s="572"/>
      <c r="AI21" s="555"/>
      <c r="AJ21" s="572"/>
      <c r="AK21" s="555"/>
      <c r="AL21" s="572"/>
      <c r="AM21" s="555"/>
      <c r="AN21" s="572"/>
      <c r="AO21" s="555"/>
      <c r="AP21" s="572"/>
      <c r="AQ21" s="555"/>
      <c r="AR21" s="572"/>
      <c r="AS21" s="555"/>
      <c r="AT21" s="572"/>
      <c r="AU21" s="555"/>
      <c r="AV21" s="572"/>
      <c r="AW21" s="555"/>
      <c r="AY21" s="367"/>
      <c r="AZ21" s="605">
        <v>12</v>
      </c>
      <c r="BA21" s="612" t="s">
        <v>17</v>
      </c>
      <c r="BB21" s="565" t="s">
        <v>262</v>
      </c>
      <c r="BC21" s="81" t="s">
        <v>82</v>
      </c>
      <c r="BD21" s="578"/>
      <c r="BE21" s="82" t="str">
        <f>IF(OR(ISBLANK(F21),ISBLANK(H21)),"N/A",IF(ABS(H21-F21)&gt;25,"&gt; 25%","ok"))</f>
        <v>N/A</v>
      </c>
      <c r="BF21" s="578"/>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78"/>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31" customFormat="1" ht="27" customHeight="1">
      <c r="A22" s="368"/>
      <c r="B22" s="219">
        <v>261</v>
      </c>
      <c r="C22" s="237">
        <v>13</v>
      </c>
      <c r="D22" s="234" t="s">
        <v>494</v>
      </c>
      <c r="E22" s="228" t="s">
        <v>262</v>
      </c>
      <c r="F22" s="572"/>
      <c r="G22" s="555"/>
      <c r="H22" s="572"/>
      <c r="I22" s="555"/>
      <c r="J22" s="572"/>
      <c r="K22" s="555"/>
      <c r="L22" s="572"/>
      <c r="M22" s="555"/>
      <c r="N22" s="572"/>
      <c r="O22" s="555"/>
      <c r="P22" s="572"/>
      <c r="Q22" s="555"/>
      <c r="R22" s="572"/>
      <c r="S22" s="555"/>
      <c r="T22" s="572"/>
      <c r="U22" s="555"/>
      <c r="V22" s="572"/>
      <c r="W22" s="555"/>
      <c r="X22" s="572"/>
      <c r="Y22" s="555"/>
      <c r="Z22" s="572"/>
      <c r="AA22" s="555"/>
      <c r="AB22" s="572"/>
      <c r="AC22" s="555"/>
      <c r="AD22" s="572"/>
      <c r="AE22" s="555"/>
      <c r="AF22" s="572"/>
      <c r="AG22" s="555"/>
      <c r="AH22" s="572"/>
      <c r="AI22" s="555"/>
      <c r="AJ22" s="572"/>
      <c r="AK22" s="555"/>
      <c r="AL22" s="572"/>
      <c r="AM22" s="555"/>
      <c r="AN22" s="572"/>
      <c r="AO22" s="555"/>
      <c r="AP22" s="572"/>
      <c r="AQ22" s="555"/>
      <c r="AR22" s="572"/>
      <c r="AS22" s="555"/>
      <c r="AT22" s="572"/>
      <c r="AU22" s="555"/>
      <c r="AV22" s="572"/>
      <c r="AW22" s="555"/>
      <c r="AY22" s="367"/>
      <c r="AZ22" s="565">
        <v>13</v>
      </c>
      <c r="BA22" s="613" t="s">
        <v>494</v>
      </c>
      <c r="BB22" s="565" t="s">
        <v>262</v>
      </c>
      <c r="BC22" s="81" t="s">
        <v>82</v>
      </c>
      <c r="BD22" s="578"/>
      <c r="BE22" s="82" t="str">
        <f>IF(OR(ISBLANK(F22),ISBLANK(H22)),"N/A",IF(ABS(H22-F22)&gt;25,"&gt; 25%","ok"))</f>
        <v>N/A</v>
      </c>
      <c r="BF22" s="578"/>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78"/>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31" customFormat="1" ht="27" customHeight="1">
      <c r="A23" s="368"/>
      <c r="B23" s="219">
        <v>262</v>
      </c>
      <c r="C23" s="369">
        <v>14</v>
      </c>
      <c r="D23" s="249" t="s">
        <v>495</v>
      </c>
      <c r="E23" s="247" t="s">
        <v>262</v>
      </c>
      <c r="F23" s="548"/>
      <c r="G23" s="561"/>
      <c r="H23" s="548"/>
      <c r="I23" s="561"/>
      <c r="J23" s="548"/>
      <c r="K23" s="561"/>
      <c r="L23" s="548"/>
      <c r="M23" s="561"/>
      <c r="N23" s="548"/>
      <c r="O23" s="561"/>
      <c r="P23" s="548"/>
      <c r="Q23" s="561"/>
      <c r="R23" s="548"/>
      <c r="S23" s="561"/>
      <c r="T23" s="548"/>
      <c r="U23" s="561"/>
      <c r="V23" s="548"/>
      <c r="W23" s="561"/>
      <c r="X23" s="548"/>
      <c r="Y23" s="561"/>
      <c r="Z23" s="548"/>
      <c r="AA23" s="561"/>
      <c r="AB23" s="548"/>
      <c r="AC23" s="561"/>
      <c r="AD23" s="548"/>
      <c r="AE23" s="561"/>
      <c r="AF23" s="548"/>
      <c r="AG23" s="561"/>
      <c r="AH23" s="548"/>
      <c r="AI23" s="561"/>
      <c r="AJ23" s="548"/>
      <c r="AK23" s="561"/>
      <c r="AL23" s="548"/>
      <c r="AM23" s="561"/>
      <c r="AN23" s="548"/>
      <c r="AO23" s="561"/>
      <c r="AP23" s="548"/>
      <c r="AQ23" s="561"/>
      <c r="AR23" s="548"/>
      <c r="AS23" s="561"/>
      <c r="AT23" s="548"/>
      <c r="AU23" s="561"/>
      <c r="AV23" s="548"/>
      <c r="AW23" s="561"/>
      <c r="AY23" s="367"/>
      <c r="AZ23" s="620">
        <v>14</v>
      </c>
      <c r="BA23" s="621" t="s">
        <v>495</v>
      </c>
      <c r="BB23" s="620" t="s">
        <v>262</v>
      </c>
      <c r="BC23" s="94" t="s">
        <v>82</v>
      </c>
      <c r="BD23" s="580"/>
      <c r="BE23" s="80" t="str">
        <f>IF(OR(ISBLANK(F23),ISBLANK(H23)),"N/A",IF(ABS(H23-F23)&gt;25,"&gt; 25%","ok"))</f>
        <v>N/A</v>
      </c>
      <c r="BF23" s="5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80"/>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2" t="s">
        <v>45</v>
      </c>
      <c r="BA24" s="623"/>
      <c r="BB24" s="623"/>
    </row>
    <row r="25" spans="3:98" ht="15" customHeight="1">
      <c r="C25" s="336" t="s">
        <v>305</v>
      </c>
      <c r="D25" s="433"/>
      <c r="E25" s="434"/>
      <c r="F25" s="336"/>
      <c r="G25" s="336"/>
      <c r="AZ25" s="624" t="s">
        <v>287</v>
      </c>
      <c r="BA25" s="624" t="s">
        <v>288</v>
      </c>
      <c r="BB25" s="624" t="s">
        <v>291</v>
      </c>
      <c r="BC25" s="583">
        <v>1990</v>
      </c>
      <c r="BD25" s="584"/>
      <c r="BE25" s="583">
        <v>1995</v>
      </c>
      <c r="BF25" s="584"/>
      <c r="BG25" s="583">
        <v>2000</v>
      </c>
      <c r="BH25" s="584"/>
      <c r="BI25" s="583">
        <v>2001</v>
      </c>
      <c r="BJ25" s="584"/>
      <c r="BK25" s="583">
        <v>2002</v>
      </c>
      <c r="BL25" s="584"/>
      <c r="BM25" s="583">
        <v>2003</v>
      </c>
      <c r="BN25" s="584"/>
      <c r="BO25" s="583">
        <v>2004</v>
      </c>
      <c r="BP25" s="584"/>
      <c r="BQ25" s="583">
        <v>2005</v>
      </c>
      <c r="BR25" s="584"/>
      <c r="BS25" s="583">
        <v>2006</v>
      </c>
      <c r="BT25" s="584"/>
      <c r="BU25" s="583">
        <v>2007</v>
      </c>
      <c r="BV25" s="584"/>
      <c r="BW25" s="583">
        <v>2008</v>
      </c>
      <c r="BX25" s="584"/>
      <c r="BY25" s="583">
        <v>2009</v>
      </c>
      <c r="BZ25" s="584"/>
      <c r="CA25" s="583">
        <v>2010</v>
      </c>
      <c r="CB25" s="584"/>
      <c r="CC25" s="583">
        <v>2011</v>
      </c>
      <c r="CD25" s="585"/>
      <c r="CE25" s="583">
        <v>2012</v>
      </c>
      <c r="CF25" s="584"/>
      <c r="CG25" s="583">
        <v>2013</v>
      </c>
      <c r="CH25" s="584"/>
      <c r="CI25" s="583">
        <v>2014</v>
      </c>
      <c r="CJ25" s="585"/>
      <c r="CK25" s="583">
        <v>2015</v>
      </c>
      <c r="CL25" s="584"/>
      <c r="CM25" s="215">
        <v>2016</v>
      </c>
      <c r="CN25" s="215"/>
      <c r="CO25" s="215">
        <v>2017</v>
      </c>
      <c r="CP25" s="215"/>
      <c r="CQ25" s="215">
        <v>2018</v>
      </c>
      <c r="CR25" s="215"/>
      <c r="CS25" s="215">
        <v>2019</v>
      </c>
      <c r="CT25" s="215"/>
    </row>
    <row r="26" spans="3:98" ht="17.25" customHeight="1">
      <c r="C26" s="260" t="s">
        <v>142</v>
      </c>
      <c r="D26" s="798" t="s">
        <v>122</v>
      </c>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435"/>
      <c r="AZ26" s="565">
        <v>3</v>
      </c>
      <c r="BA26" s="612" t="s">
        <v>538</v>
      </c>
      <c r="BB26" s="565" t="s">
        <v>299</v>
      </c>
      <c r="BC26" s="81">
        <f>F10</f>
        <v>14.319999694824219</v>
      </c>
      <c r="BD26" s="81"/>
      <c r="BE26" s="81">
        <f>H10</f>
        <v>18.209999084472656</v>
      </c>
      <c r="BF26" s="81"/>
      <c r="BG26" s="81">
        <f>J10</f>
        <v>16.329999923706055</v>
      </c>
      <c r="BH26" s="81"/>
      <c r="BI26" s="81">
        <f>L10</f>
        <v>17.579999923706055</v>
      </c>
      <c r="BJ26" s="81"/>
      <c r="BK26" s="81">
        <f>N10</f>
        <v>17.579999923706055</v>
      </c>
      <c r="BL26" s="81"/>
      <c r="BM26" s="81">
        <f>P10</f>
        <v>18.809999465942383</v>
      </c>
      <c r="BN26" s="81"/>
      <c r="BO26" s="81">
        <f>R10</f>
        <v>15.739999771118164</v>
      </c>
      <c r="BP26" s="81"/>
      <c r="BQ26" s="81">
        <f>T10</f>
        <v>27.229999542236328</v>
      </c>
      <c r="BR26" s="81"/>
      <c r="BS26" s="81">
        <f>V10</f>
        <v>24.520000457763672</v>
      </c>
      <c r="BT26" s="81"/>
      <c r="BU26" s="81">
        <f>X10</f>
        <v>24.8700008392334</v>
      </c>
      <c r="BV26" s="81"/>
      <c r="BW26" s="81">
        <f>Z10</f>
        <v>23.549999237060547</v>
      </c>
      <c r="BX26" s="81"/>
      <c r="BY26" s="81">
        <f>AB10</f>
        <v>24.520000457763672</v>
      </c>
      <c r="BZ26" s="81"/>
      <c r="CA26" s="81">
        <f>AD10</f>
        <v>24.75</v>
      </c>
      <c r="CB26" s="81"/>
      <c r="CC26" s="81">
        <f>AF10</f>
        <v>25.110000610351562</v>
      </c>
      <c r="CD26" s="81"/>
      <c r="CE26" s="81">
        <f>AH10</f>
        <v>25.8700008392334</v>
      </c>
      <c r="CF26" s="81"/>
      <c r="CG26" s="81">
        <f>AJ10</f>
        <v>26.200000762939453</v>
      </c>
      <c r="CH26" s="81"/>
      <c r="CI26" s="81">
        <f>AL10</f>
        <v>24.68000030517578</v>
      </c>
      <c r="CJ26" s="81"/>
      <c r="CK26" s="81">
        <f>AN10</f>
        <v>24.309999465942383</v>
      </c>
      <c r="CL26" s="81"/>
      <c r="CM26" s="81">
        <f>AP10</f>
        <v>25.940000534057617</v>
      </c>
      <c r="CN26" s="81"/>
      <c r="CO26" s="81">
        <f>AR10</f>
        <v>0</v>
      </c>
      <c r="CP26" s="81"/>
      <c r="CQ26" s="81">
        <f>AT10</f>
        <v>0</v>
      </c>
      <c r="CR26" s="81"/>
      <c r="CS26" s="81">
        <f>AV10</f>
        <v>0</v>
      </c>
      <c r="CT26" s="81"/>
    </row>
    <row r="27" spans="1:113" s="416" customFormat="1" ht="14.25" customHeight="1">
      <c r="A27" s="262"/>
      <c r="B27" s="262"/>
      <c r="C27" s="260" t="s">
        <v>142</v>
      </c>
      <c r="D27" s="794" t="s">
        <v>143</v>
      </c>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c r="AK27" s="794"/>
      <c r="AL27" s="794"/>
      <c r="AM27" s="794"/>
      <c r="AN27" s="794"/>
      <c r="AO27" s="794"/>
      <c r="AP27" s="794"/>
      <c r="AQ27" s="794"/>
      <c r="AR27" s="794"/>
      <c r="AS27" s="794"/>
      <c r="AT27" s="794"/>
      <c r="AU27" s="794"/>
      <c r="AV27" s="794"/>
      <c r="AW27" s="794"/>
      <c r="AX27" s="794"/>
      <c r="AY27" s="435"/>
      <c r="AZ27" s="281">
        <v>15</v>
      </c>
      <c r="BA27" s="436" t="s">
        <v>37</v>
      </c>
      <c r="BB27" s="81" t="s">
        <v>299</v>
      </c>
      <c r="BC27" s="81">
        <f>F8-F9</f>
        <v>14.319998979568481</v>
      </c>
      <c r="BD27" s="81"/>
      <c r="BE27" s="81">
        <f>H8-H9</f>
        <v>18.21000051498413</v>
      </c>
      <c r="BF27" s="81"/>
      <c r="BG27" s="81">
        <f>J8-J9</f>
        <v>16.33000087738037</v>
      </c>
      <c r="BH27" s="81"/>
      <c r="BI27" s="81">
        <f>L8-L9</f>
        <v>17.579999923706055</v>
      </c>
      <c r="BJ27" s="81"/>
      <c r="BK27" s="81">
        <f>N8-N9</f>
        <v>17.579999923706055</v>
      </c>
      <c r="BL27" s="81"/>
      <c r="BM27" s="81">
        <f>P8-P9</f>
        <v>18.8100004196167</v>
      </c>
      <c r="BN27" s="81"/>
      <c r="BO27" s="81">
        <f>R8-R9</f>
        <v>15.74000072479248</v>
      </c>
      <c r="BP27" s="81"/>
      <c r="BQ27" s="81">
        <f>T8-T9</f>
        <v>27.22999858856201</v>
      </c>
      <c r="BR27" s="81"/>
      <c r="BS27" s="81">
        <f>V8-V9</f>
        <v>24.520000457763672</v>
      </c>
      <c r="BT27" s="81"/>
      <c r="BU27" s="81">
        <f>X8-X9</f>
        <v>24.87000274658203</v>
      </c>
      <c r="BV27" s="81"/>
      <c r="BW27" s="81">
        <f>Z8-Z9</f>
        <v>23.549999237060547</v>
      </c>
      <c r="BX27" s="81"/>
      <c r="BY27" s="81">
        <f>AB8-AB9</f>
        <v>24.520004272460938</v>
      </c>
      <c r="BZ27" s="81"/>
      <c r="CA27" s="81">
        <f>AD8-AD9</f>
        <v>24.75</v>
      </c>
      <c r="CB27" s="81"/>
      <c r="CC27" s="81">
        <f>AF8-AF9</f>
        <v>25.110000610351562</v>
      </c>
      <c r="CD27" s="81"/>
      <c r="CE27" s="81">
        <f>AH8-AH9</f>
        <v>25.87000274658203</v>
      </c>
      <c r="CF27" s="81"/>
      <c r="CG27" s="81">
        <f>AJ8-AJ9</f>
        <v>26.200000762939453</v>
      </c>
      <c r="CH27" s="81"/>
      <c r="CI27" s="81">
        <f>AL8-AL9</f>
        <v>24.679996490478516</v>
      </c>
      <c r="CJ27" s="81"/>
      <c r="CK27" s="81">
        <f>AN8-AN9</f>
        <v>24.310001373291016</v>
      </c>
      <c r="CL27" s="81"/>
      <c r="CM27" s="81">
        <f>AP8-AP9</f>
        <v>25.939998626708984</v>
      </c>
      <c r="CN27" s="81"/>
      <c r="CO27" s="81">
        <f>AR8-AR9</f>
        <v>46.16511535644531</v>
      </c>
      <c r="CP27" s="81"/>
      <c r="CQ27" s="81">
        <f>AT8-AT9</f>
        <v>0</v>
      </c>
      <c r="CR27" s="81"/>
      <c r="CS27" s="81">
        <f>AV8-AV9</f>
        <v>0</v>
      </c>
      <c r="CT27" s="81"/>
      <c r="CU27" s="437"/>
      <c r="CV27" s="437"/>
      <c r="CW27" s="437"/>
      <c r="CX27" s="437"/>
      <c r="CY27" s="437"/>
      <c r="CZ27" s="437"/>
      <c r="DA27" s="437"/>
      <c r="DB27" s="437"/>
      <c r="DC27" s="437"/>
      <c r="DD27" s="437"/>
      <c r="DE27" s="437"/>
      <c r="DF27" s="437"/>
      <c r="DG27" s="437"/>
      <c r="DH27" s="437"/>
      <c r="DI27" s="437"/>
    </row>
    <row r="28" spans="1:113" s="416" customFormat="1" ht="14.25" customHeight="1">
      <c r="A28" s="262"/>
      <c r="B28" s="262"/>
      <c r="C28" s="260"/>
      <c r="D28" s="798" t="s">
        <v>634</v>
      </c>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c r="AK28" s="798"/>
      <c r="AL28" s="798"/>
      <c r="AM28" s="798"/>
      <c r="AN28" s="798"/>
      <c r="AO28" s="798"/>
      <c r="AP28" s="798"/>
      <c r="AQ28" s="798"/>
      <c r="AR28" s="798"/>
      <c r="AS28" s="798"/>
      <c r="AT28" s="798"/>
      <c r="AU28" s="798"/>
      <c r="AV28" s="798"/>
      <c r="AW28" s="798"/>
      <c r="AX28" s="263"/>
      <c r="AY28" s="435"/>
      <c r="AZ28" s="269" t="s">
        <v>176</v>
      </c>
      <c r="BA28" s="266" t="s">
        <v>571</v>
      </c>
      <c r="BB28" s="81"/>
      <c r="BC28" s="81" t="str">
        <f>IF(OR(ISBLANK(F8),ISBLANK(F9),ISBLANK(F10)),"N/A",IF((BC26=BC27),"ok","&lt;&gt;"))</f>
        <v>&lt;&gt;</v>
      </c>
      <c r="BD28" s="81"/>
      <c r="BE28" s="81" t="str">
        <f>IF(OR(ISBLANK(H8),ISBLANK(H9),ISBLANK(H10)),"N/A",IF((BE26=BE27),"ok","&lt;&gt;"))</f>
        <v>&lt;&gt;</v>
      </c>
      <c r="BF28" s="81"/>
      <c r="BG28" s="81" t="str">
        <f>IF(OR(ISBLANK(J8),ISBLANK(J9),ISBLANK(J10)),"N/A",IF((BG26=BG27),"ok","&lt;&gt;"))</f>
        <v>&lt;&gt;</v>
      </c>
      <c r="BH28" s="81"/>
      <c r="BI28" s="81" t="str">
        <f>IF(OR(ISBLANK(L8),ISBLANK(L9),ISBLANK(L10)),"N/A",IF((BI26=BI27),"ok","&lt;&gt;"))</f>
        <v>ok</v>
      </c>
      <c r="BJ28" s="81"/>
      <c r="BK28" s="81" t="str">
        <f>IF(OR(ISBLANK(N8),ISBLANK(N9),ISBLANK(N10)),"N/A",IF((BK26=BK27),"ok","&lt;&gt;"))</f>
        <v>ok</v>
      </c>
      <c r="BL28" s="81"/>
      <c r="BM28" s="81" t="str">
        <f>IF(OR(ISBLANK(P8),ISBLANK(P9),ISBLANK(P10)),"N/A",IF((BM26=BM27),"ok","&lt;&gt;"))</f>
        <v>&lt;&gt;</v>
      </c>
      <c r="BN28" s="81"/>
      <c r="BO28" s="81" t="str">
        <f>IF(OR(ISBLANK(R8),ISBLANK(R9),ISBLANK(R10)),"N/A",IF((BO26=BO27),"ok","&lt;&gt;"))</f>
        <v>&lt;&gt;</v>
      </c>
      <c r="BP28" s="81"/>
      <c r="BQ28" s="81" t="str">
        <f>IF(OR(ISBLANK(T8),ISBLANK(T9),ISBLANK(T10)),"N/A",IF((BQ26=BQ27),"ok","&lt;&gt;"))</f>
        <v>&lt;&gt;</v>
      </c>
      <c r="BR28" s="81"/>
      <c r="BS28" s="81" t="str">
        <f>IF(OR(ISBLANK(V8),ISBLANK(V9),ISBLANK(V10)),"N/A",IF((BS26=BS27),"ok","&lt;&gt;"))</f>
        <v>ok</v>
      </c>
      <c r="BT28" s="81"/>
      <c r="BU28" s="81" t="str">
        <f>IF(OR(ISBLANK(X8),ISBLANK(X9),ISBLANK(X10)),"N/A",IF((BU26=BU27),"ok","&lt;&gt;"))</f>
        <v>&lt;&gt;</v>
      </c>
      <c r="BV28" s="81"/>
      <c r="BW28" s="81" t="str">
        <f>IF(OR(ISBLANK(Z8),ISBLANK(Z9),ISBLANK(Z10)),"N/A",IF((BW26=BW27),"ok","&lt;&gt;"))</f>
        <v>ok</v>
      </c>
      <c r="BX28" s="81"/>
      <c r="BY28" s="81" t="str">
        <f>IF(OR(ISBLANK(AB8),ISBLANK(AB9),ISBLANK(AB10)),"N/A",IF((BY26=BY27),"ok","&lt;&gt;"))</f>
        <v>&lt;&gt;</v>
      </c>
      <c r="BZ28" s="81"/>
      <c r="CA28" s="81" t="str">
        <f>IF(OR(ISBLANK(AD8),ISBLANK(AD9),ISBLANK(AD10)),"N/A",IF((CA26=CA27),"ok","&lt;&gt;"))</f>
        <v>ok</v>
      </c>
      <c r="CB28" s="81"/>
      <c r="CC28" s="81" t="str">
        <f>IF(OR(ISBLANK(AF8),ISBLANK(AF9),ISBLANK(AF10)),"N/A",IF((CC26=CC27),"ok","&lt;&gt;"))</f>
        <v>ok</v>
      </c>
      <c r="CD28" s="81"/>
      <c r="CE28" s="81" t="str">
        <f>IF(OR(ISBLANK(AH8),ISBLANK(AH9),ISBLANK(AH10)),"N/A",IF((CE26=CE27),"ok","&lt;&gt;"))</f>
        <v>&lt;&gt;</v>
      </c>
      <c r="CF28" s="81"/>
      <c r="CG28" s="81" t="str">
        <f>IF(OR(ISBLANK(AJ8),ISBLANK(AJ9),ISBLANK(AJ10)),"N/A",IF((CG26=CG27),"ok","&lt;&gt;"))</f>
        <v>ok</v>
      </c>
      <c r="CH28" s="81"/>
      <c r="CI28" s="81" t="str">
        <f>IF(OR(ISBLANK(AL8),ISBLANK(AL9),ISBLANK(AL10)),"N/A",IF((CI26=CI27),"ok","&lt;&gt;"))</f>
        <v>&lt;&gt;</v>
      </c>
      <c r="CJ28" s="81"/>
      <c r="CK28" s="81" t="str">
        <f>IF(OR(ISBLANK(AN8),ISBLANK(AN9),ISBLANK(AN10)),"N/A",IF((CK26=CK27),"ok","&lt;&gt;"))</f>
        <v>&lt;&gt;</v>
      </c>
      <c r="CL28" s="81"/>
      <c r="CM28" s="81" t="str">
        <f>IF(OR(ISBLANK(AP8),ISBLANK(AP9),ISBLANK(AP10)),"N/A",IF((CM26=CM27),"ok","&lt;&gt;"))</f>
        <v>&lt;&gt;</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37"/>
      <c r="CV28" s="437"/>
      <c r="CW28" s="437"/>
      <c r="CX28" s="437"/>
      <c r="CY28" s="437"/>
      <c r="CZ28" s="437"/>
      <c r="DA28" s="437"/>
      <c r="DB28" s="437"/>
      <c r="DC28" s="437"/>
      <c r="DD28" s="437"/>
      <c r="DE28" s="437"/>
      <c r="DF28" s="437"/>
      <c r="DG28" s="437"/>
      <c r="DH28" s="437"/>
      <c r="DI28" s="437"/>
    </row>
    <row r="29" spans="1:113" s="416" customFormat="1" ht="14.25" customHeight="1">
      <c r="A29" s="262"/>
      <c r="B29" s="262"/>
      <c r="C29" s="260" t="s">
        <v>142</v>
      </c>
      <c r="D29" s="798" t="s">
        <v>251</v>
      </c>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261"/>
      <c r="AW29" s="261"/>
      <c r="AX29" s="261"/>
      <c r="AY29" s="435"/>
      <c r="AZ29" s="281">
        <v>16</v>
      </c>
      <c r="BA29" s="266" t="s">
        <v>572</v>
      </c>
      <c r="BB29" s="81" t="s">
        <v>299</v>
      </c>
      <c r="BC29" s="81">
        <f>SUM(F12:F16)+SUM(F18:F19)</f>
        <v>10.300000190734863</v>
      </c>
      <c r="BD29" s="81"/>
      <c r="BE29" s="81">
        <f>SUM(H12:H16)+SUM(H18:H19)</f>
        <v>10.739999771118164</v>
      </c>
      <c r="BF29" s="81"/>
      <c r="BG29" s="81">
        <f>SUM(J12:J16)+SUM(J18:J19)</f>
        <v>8.819999694824219</v>
      </c>
      <c r="BH29" s="81"/>
      <c r="BI29" s="81">
        <f>SUM(L12:L16)+SUM(L18:L19)</f>
        <v>10.170000076293945</v>
      </c>
      <c r="BJ29" s="81"/>
      <c r="BK29" s="81">
        <f>SUM(N12:N16)+SUM(N18:N19)</f>
        <v>11.260000228881836</v>
      </c>
      <c r="BL29" s="81"/>
      <c r="BM29" s="81">
        <f>SUM(P12:P16)+SUM(P18:P19)</f>
        <v>10.600000381469727</v>
      </c>
      <c r="BN29" s="81"/>
      <c r="BO29" s="81">
        <f>SUM(R12:R16)+SUM(R18:R19)</f>
        <v>9.9399995803833</v>
      </c>
      <c r="BP29" s="81"/>
      <c r="BQ29" s="81">
        <f>SUM(T12:T16)+SUM(T18:T19)</f>
        <v>18.469999313354492</v>
      </c>
      <c r="BR29" s="81"/>
      <c r="BS29" s="81">
        <f>SUM(V12:V16)+SUM(V18:V19)</f>
        <v>16.559999465942383</v>
      </c>
      <c r="BT29" s="81"/>
      <c r="BU29" s="81">
        <f>SUM(X12:X16)+SUM(X18:X19)</f>
        <v>17.389999389648438</v>
      </c>
      <c r="BV29" s="81"/>
      <c r="BW29" s="81">
        <f>SUM(Z12:Z16)+SUM(Z18:Z19)</f>
        <v>16.170000076293945</v>
      </c>
      <c r="BX29" s="81"/>
      <c r="BY29" s="81">
        <f>SUM(AB12:AB16)+SUM(AB18:AB19)</f>
        <v>17.770000457763672</v>
      </c>
      <c r="BZ29" s="81"/>
      <c r="CA29" s="81">
        <f>SUM(AD12:AD16)+SUM(AD18:AD19)</f>
        <v>17.860000610351562</v>
      </c>
      <c r="CB29" s="81"/>
      <c r="CC29" s="81">
        <f>SUM(AF12:AF16)+SUM(AF18:AF19)</f>
        <v>18.649999618530273</v>
      </c>
      <c r="CD29" s="81"/>
      <c r="CE29" s="81">
        <f>SUM(AH12:AH16)+SUM(AH18:AH19)</f>
        <v>18.68000030517578</v>
      </c>
      <c r="CF29" s="81"/>
      <c r="CG29" s="81">
        <f>SUM(AJ12:AJ16)+SUM(AJ18:AJ19)</f>
        <v>18.899999618530273</v>
      </c>
      <c r="CH29" s="81"/>
      <c r="CI29" s="81">
        <f>SUM(AL12:AL16)+SUM(AL18:AL19)</f>
        <v>18.1200008392334</v>
      </c>
      <c r="CJ29" s="81"/>
      <c r="CK29" s="81">
        <f>SUM(AN12:AN16)+SUM(AN18:AN19)</f>
        <v>18.540000915527344</v>
      </c>
      <c r="CL29" s="81"/>
      <c r="CM29" s="81">
        <f>SUM(AP12:AP16)+SUM(AP18:AP19)</f>
        <v>19.360000610351562</v>
      </c>
      <c r="CN29" s="81"/>
      <c r="CO29" s="81">
        <f>SUM(AR12:AR16)+SUM(AR18:AR19)</f>
        <v>19.040000915527344</v>
      </c>
      <c r="CP29" s="81"/>
      <c r="CQ29" s="81">
        <f>SUM(AT12:AT16)+SUM(AT18:AT19)</f>
        <v>0</v>
      </c>
      <c r="CR29" s="81"/>
      <c r="CS29" s="81">
        <f>SUM(AV12:AV16)+SUM(AV18:AV19)</f>
        <v>0</v>
      </c>
      <c r="CT29" s="81"/>
      <c r="CU29" s="437"/>
      <c r="CV29" s="437"/>
      <c r="CW29" s="437"/>
      <c r="CX29" s="437"/>
      <c r="CY29" s="437"/>
      <c r="CZ29" s="437"/>
      <c r="DA29" s="437"/>
      <c r="DB29" s="437"/>
      <c r="DC29" s="437"/>
      <c r="DD29" s="437"/>
      <c r="DE29" s="437"/>
      <c r="DF29" s="437"/>
      <c r="DG29" s="437"/>
      <c r="DH29" s="437"/>
      <c r="DI29" s="437"/>
    </row>
    <row r="30" spans="1:113" s="416" customFormat="1" ht="14.25" customHeight="1">
      <c r="A30" s="262"/>
      <c r="B30" s="262"/>
      <c r="C30" s="260" t="s">
        <v>142</v>
      </c>
      <c r="D30" s="798" t="s">
        <v>110</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Y30" s="435"/>
      <c r="AZ30" s="269" t="s">
        <v>176</v>
      </c>
      <c r="BA30" s="266" t="s">
        <v>573</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7"/>
      <c r="CV30" s="437"/>
      <c r="CW30" s="437"/>
      <c r="CX30" s="437"/>
      <c r="CY30" s="437"/>
      <c r="CZ30" s="437"/>
      <c r="DA30" s="437"/>
      <c r="DB30" s="437"/>
      <c r="DC30" s="437"/>
      <c r="DD30" s="437"/>
      <c r="DE30" s="437"/>
      <c r="DF30" s="437"/>
      <c r="DG30" s="437"/>
      <c r="DH30" s="437"/>
      <c r="DI30" s="437"/>
    </row>
    <row r="31" spans="1:113" s="416" customFormat="1" ht="16.5" customHeight="1">
      <c r="A31" s="262"/>
      <c r="B31" s="262"/>
      <c r="C31" s="260"/>
      <c r="D31" s="813"/>
      <c r="E31" s="813"/>
      <c r="F31" s="813"/>
      <c r="G31" s="813"/>
      <c r="H31" s="813"/>
      <c r="I31" s="813"/>
      <c r="J31" s="813"/>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435"/>
      <c r="AZ31" s="295" t="s">
        <v>176</v>
      </c>
      <c r="BA31" s="296" t="s">
        <v>574</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7"/>
      <c r="CV31" s="437"/>
      <c r="CW31" s="437"/>
      <c r="CX31" s="437"/>
      <c r="CY31" s="437"/>
      <c r="CZ31" s="437"/>
      <c r="DA31" s="437"/>
      <c r="DB31" s="437"/>
      <c r="DC31" s="437"/>
      <c r="DD31" s="437"/>
      <c r="DE31" s="437"/>
      <c r="DF31" s="437"/>
      <c r="DG31" s="437"/>
      <c r="DH31" s="437"/>
      <c r="DI31" s="437"/>
    </row>
    <row r="32" spans="1:113" ht="20.25" customHeight="1">
      <c r="A32" s="262"/>
      <c r="B32" s="262"/>
      <c r="C32" s="260"/>
      <c r="D32" s="270"/>
      <c r="E32" s="270"/>
      <c r="F32" s="270"/>
      <c r="G32" s="270"/>
      <c r="H32" s="270"/>
      <c r="I32" s="270"/>
      <c r="J32" s="270"/>
      <c r="K32" s="270"/>
      <c r="L32" s="270"/>
      <c r="M32" s="270"/>
      <c r="N32" s="270"/>
      <c r="O32" s="270"/>
      <c r="P32" s="270"/>
      <c r="Q32" s="270"/>
      <c r="R32" s="270"/>
      <c r="S32" s="270"/>
      <c r="T32" s="270"/>
      <c r="U32" s="852" t="str">
        <f>D12&amp;" (W3,4)"</f>
        <v>Households (W3,4)</v>
      </c>
      <c r="V32" s="853"/>
      <c r="W32" s="853"/>
      <c r="X32" s="853"/>
      <c r="Y32" s="853"/>
      <c r="Z32" s="853"/>
      <c r="AA32" s="853"/>
      <c r="AB32" s="854"/>
      <c r="AC32" s="270"/>
      <c r="AD32" s="270"/>
      <c r="AE32" s="270"/>
      <c r="AF32" s="270"/>
      <c r="AG32" s="270"/>
      <c r="AH32" s="270"/>
      <c r="AI32" s="270"/>
      <c r="AJ32" s="270"/>
      <c r="AK32" s="270"/>
      <c r="AL32" s="799"/>
      <c r="AM32" s="799"/>
      <c r="AN32" s="799"/>
      <c r="AO32" s="799"/>
      <c r="AP32" s="799"/>
      <c r="AQ32" s="799"/>
      <c r="AR32" s="799"/>
      <c r="AS32" s="799"/>
      <c r="AT32" s="799"/>
      <c r="AU32" s="799"/>
      <c r="AV32" s="271"/>
      <c r="AW32" s="271"/>
      <c r="AX32" s="270"/>
      <c r="AY32" s="439"/>
      <c r="AZ32" s="81"/>
      <c r="BA32" s="44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c r="A33" s="262"/>
      <c r="B33" s="262"/>
      <c r="C33" s="260"/>
      <c r="D33" s="270"/>
      <c r="E33" s="270"/>
      <c r="F33" s="270"/>
      <c r="G33" s="270"/>
      <c r="H33" s="270"/>
      <c r="I33" s="270"/>
      <c r="J33" s="270"/>
      <c r="K33" s="861" t="str">
        <f>LEFT(D10,LEN(D10)-25)&amp;" (W3,3)"</f>
        <v>Net freshwater supplied by water supply industry (ISIC 36)   (W3,3)</v>
      </c>
      <c r="L33" s="862"/>
      <c r="M33" s="862"/>
      <c r="N33" s="863"/>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40"/>
      <c r="AM33" s="440"/>
      <c r="AN33" s="440"/>
      <c r="AO33" s="440"/>
      <c r="AP33" s="440"/>
      <c r="AQ33" s="440"/>
      <c r="AR33" s="440"/>
      <c r="AS33" s="440"/>
      <c r="AT33" s="440"/>
      <c r="AU33" s="440"/>
      <c r="AV33" s="440"/>
      <c r="AW33" s="440"/>
      <c r="AX33" s="270"/>
      <c r="AY33" s="439"/>
      <c r="AZ33" s="297"/>
      <c r="BA33" s="298"/>
      <c r="CT33" s="81"/>
      <c r="CU33" s="267"/>
      <c r="CV33" s="267"/>
      <c r="CW33" s="267"/>
      <c r="CX33" s="267"/>
      <c r="CY33" s="267"/>
      <c r="CZ33" s="267"/>
      <c r="DA33" s="267"/>
      <c r="DB33" s="267"/>
      <c r="DC33" s="267"/>
      <c r="DD33" s="267"/>
      <c r="DE33" s="267"/>
      <c r="DF33" s="267"/>
      <c r="DG33" s="267"/>
      <c r="DH33" s="267"/>
      <c r="DI33" s="267"/>
    </row>
    <row r="34" spans="1:113" ht="28.5" customHeight="1">
      <c r="A34" s="262"/>
      <c r="B34" s="262"/>
      <c r="C34" s="260"/>
      <c r="D34" s="858" t="str">
        <f>D8&amp;" (W3, 1)"</f>
        <v>Gross freshwater supplied by water supply industry (ISIC 36) (W3, 1)</v>
      </c>
      <c r="E34" s="271"/>
      <c r="F34" s="596"/>
      <c r="G34" s="596"/>
      <c r="H34" s="596"/>
      <c r="I34" s="596"/>
      <c r="J34" s="596"/>
      <c r="K34" s="864"/>
      <c r="L34" s="865"/>
      <c r="M34" s="865"/>
      <c r="N34" s="866"/>
      <c r="O34" s="596"/>
      <c r="P34" s="875" t="s">
        <v>16</v>
      </c>
      <c r="Q34" s="875"/>
      <c r="R34" s="596"/>
      <c r="S34" s="596"/>
      <c r="T34" s="596"/>
      <c r="U34" s="852" t="str">
        <f>D13&amp;" (W3,5)"</f>
        <v>Agriculture, forestry and fishing (ISIC 01-03) (W3,5)</v>
      </c>
      <c r="V34" s="853"/>
      <c r="W34" s="853"/>
      <c r="X34" s="853"/>
      <c r="Y34" s="853"/>
      <c r="Z34" s="853"/>
      <c r="AA34" s="853"/>
      <c r="AB34" s="854"/>
      <c r="AC34" s="272"/>
      <c r="AD34" s="271"/>
      <c r="AE34" s="592"/>
      <c r="AF34" s="592"/>
      <c r="AG34" s="442"/>
      <c r="AH34" s="855"/>
      <c r="AI34" s="855"/>
      <c r="AJ34" s="270"/>
      <c r="AK34" s="270"/>
      <c r="AL34" s="799"/>
      <c r="AM34" s="799"/>
      <c r="AN34" s="799"/>
      <c r="AO34" s="799"/>
      <c r="AP34" s="799"/>
      <c r="AQ34" s="799"/>
      <c r="AR34" s="799"/>
      <c r="AS34" s="799"/>
      <c r="AT34" s="799"/>
      <c r="AU34" s="799"/>
      <c r="AV34" s="271"/>
      <c r="AW34" s="271"/>
      <c r="AX34" s="270"/>
      <c r="AY34" s="43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59"/>
      <c r="E35" s="596"/>
      <c r="F35" s="596"/>
      <c r="G35" s="596"/>
      <c r="H35" s="596"/>
      <c r="I35" s="596"/>
      <c r="J35" s="596"/>
      <c r="K35" s="864"/>
      <c r="L35" s="865"/>
      <c r="M35" s="865"/>
      <c r="N35" s="866"/>
      <c r="O35" s="596"/>
      <c r="P35" s="596"/>
      <c r="Q35" s="596"/>
      <c r="R35" s="596"/>
      <c r="S35" s="596"/>
      <c r="T35" s="596"/>
      <c r="U35" s="596"/>
      <c r="V35" s="596"/>
      <c r="W35" s="596"/>
      <c r="X35" s="596"/>
      <c r="Y35" s="596"/>
      <c r="Z35" s="596"/>
      <c r="AA35" s="273"/>
      <c r="AB35" s="272"/>
      <c r="AC35" s="272"/>
      <c r="AD35" s="592"/>
      <c r="AE35" s="592"/>
      <c r="AF35" s="592"/>
      <c r="AG35" s="442"/>
      <c r="AH35" s="442"/>
      <c r="AI35" s="442"/>
      <c r="AJ35" s="270"/>
      <c r="AK35" s="270"/>
      <c r="AL35" s="528"/>
      <c r="AM35" s="528"/>
      <c r="AN35" s="528"/>
      <c r="AO35" s="528"/>
      <c r="AP35" s="528"/>
      <c r="AQ35" s="528"/>
      <c r="AR35" s="528"/>
      <c r="AS35" s="528"/>
      <c r="AT35" s="528"/>
      <c r="AU35" s="528"/>
      <c r="AV35" s="440"/>
      <c r="AW35" s="440"/>
      <c r="AX35" s="270"/>
      <c r="AY35" s="439"/>
      <c r="AZ35" s="297" t="s">
        <v>57</v>
      </c>
      <c r="BA35" s="298" t="s">
        <v>58</v>
      </c>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95"/>
      <c r="CU35" s="267"/>
      <c r="CV35" s="267"/>
      <c r="CW35" s="267"/>
      <c r="CX35" s="267"/>
      <c r="CY35" s="267"/>
      <c r="CZ35" s="267"/>
      <c r="DA35" s="267"/>
      <c r="DB35" s="267"/>
      <c r="DC35" s="267"/>
      <c r="DD35" s="267"/>
      <c r="DE35" s="267"/>
      <c r="DF35" s="267"/>
      <c r="DG35" s="267"/>
      <c r="DH35" s="267"/>
      <c r="DI35" s="267"/>
    </row>
    <row r="36" spans="1:113" ht="27.75" customHeight="1">
      <c r="A36" s="262"/>
      <c r="B36" s="262"/>
      <c r="C36" s="260"/>
      <c r="D36" s="859"/>
      <c r="E36" s="596"/>
      <c r="F36" s="596"/>
      <c r="G36" s="596"/>
      <c r="H36" s="596"/>
      <c r="I36" s="596"/>
      <c r="J36" s="596"/>
      <c r="K36" s="864"/>
      <c r="L36" s="865"/>
      <c r="M36" s="865"/>
      <c r="N36" s="866"/>
      <c r="O36" s="596"/>
      <c r="P36" s="596"/>
      <c r="Q36" s="596"/>
      <c r="R36" s="596"/>
      <c r="S36" s="596"/>
      <c r="T36" s="596"/>
      <c r="U36" s="852" t="str">
        <f>D14&amp;" (W3,6)"</f>
        <v>Mining and quarrying (ISIC 05-09) (W3,6)</v>
      </c>
      <c r="V36" s="853"/>
      <c r="W36" s="853"/>
      <c r="X36" s="853"/>
      <c r="Y36" s="853"/>
      <c r="Z36" s="853"/>
      <c r="AA36" s="853"/>
      <c r="AB36" s="854"/>
      <c r="AC36" s="272"/>
      <c r="AD36" s="592"/>
      <c r="AE36" s="592"/>
      <c r="AF36" s="592"/>
      <c r="AG36" s="442"/>
      <c r="AH36" s="442"/>
      <c r="AI36" s="442"/>
      <c r="AJ36" s="270"/>
      <c r="AK36" s="270"/>
      <c r="AL36" s="528"/>
      <c r="AM36" s="528"/>
      <c r="AN36" s="528"/>
      <c r="AO36" s="528"/>
      <c r="AP36" s="528"/>
      <c r="AQ36" s="528"/>
      <c r="AR36" s="528"/>
      <c r="AS36" s="528"/>
      <c r="AT36" s="528"/>
      <c r="AU36" s="528"/>
      <c r="AV36" s="440"/>
      <c r="AW36" s="440"/>
      <c r="AX36" s="270"/>
      <c r="AY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9"/>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859"/>
      <c r="E37" s="596"/>
      <c r="F37" s="596"/>
      <c r="G37" s="596"/>
      <c r="H37" s="596"/>
      <c r="I37" s="596"/>
      <c r="J37" s="596"/>
      <c r="K37" s="864"/>
      <c r="L37" s="865"/>
      <c r="M37" s="865"/>
      <c r="N37" s="866"/>
      <c r="O37" s="596"/>
      <c r="P37" s="596"/>
      <c r="Q37" s="596"/>
      <c r="R37" s="596"/>
      <c r="S37" s="596"/>
      <c r="T37" s="596"/>
      <c r="U37" s="596"/>
      <c r="V37" s="596"/>
      <c r="W37" s="596"/>
      <c r="X37" s="596"/>
      <c r="Y37" s="596"/>
      <c r="Z37" s="596"/>
      <c r="AA37" s="273"/>
      <c r="AB37" s="272"/>
      <c r="AC37" s="272"/>
      <c r="AD37" s="592"/>
      <c r="AE37" s="592"/>
      <c r="AF37" s="592"/>
      <c r="AG37" s="442"/>
      <c r="AH37" s="442"/>
      <c r="AI37" s="442"/>
      <c r="AJ37" s="270"/>
      <c r="AK37" s="270"/>
      <c r="AL37" s="528"/>
      <c r="AM37" s="528"/>
      <c r="AN37" s="528"/>
      <c r="AO37" s="528"/>
      <c r="AP37" s="528"/>
      <c r="AQ37" s="528"/>
      <c r="AR37" s="528"/>
      <c r="AS37" s="528"/>
      <c r="AT37" s="528"/>
      <c r="AU37" s="528"/>
      <c r="AV37" s="440"/>
      <c r="AW37" s="440"/>
      <c r="AX37" s="270"/>
      <c r="AY37" s="439"/>
      <c r="AZ37" s="299" t="s">
        <v>60</v>
      </c>
      <c r="BA37" s="298" t="s">
        <v>62</v>
      </c>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95"/>
      <c r="CU37" s="267"/>
      <c r="CV37" s="267"/>
      <c r="CW37" s="267"/>
      <c r="CX37" s="267"/>
      <c r="CY37" s="267"/>
      <c r="CZ37" s="267"/>
      <c r="DA37" s="267"/>
      <c r="DB37" s="267"/>
      <c r="DC37" s="267"/>
      <c r="DD37" s="267"/>
      <c r="DE37" s="267"/>
      <c r="DF37" s="267"/>
      <c r="DG37" s="267"/>
      <c r="DH37" s="267"/>
      <c r="DI37" s="267"/>
    </row>
    <row r="38" spans="1:113" ht="28.5" customHeight="1">
      <c r="A38" s="262"/>
      <c r="B38" s="262"/>
      <c r="C38" s="260"/>
      <c r="D38" s="860"/>
      <c r="E38" s="596"/>
      <c r="F38" s="596"/>
      <c r="G38" s="596"/>
      <c r="H38" s="596"/>
      <c r="I38" s="596"/>
      <c r="J38" s="596"/>
      <c r="K38" s="867"/>
      <c r="L38" s="868"/>
      <c r="M38" s="868"/>
      <c r="N38" s="869"/>
      <c r="O38" s="596"/>
      <c r="P38" s="596"/>
      <c r="Q38" s="596"/>
      <c r="R38" s="596"/>
      <c r="S38" s="596"/>
      <c r="T38" s="596"/>
      <c r="U38" s="852" t="str">
        <f>D15&amp;" (W3,7)"</f>
        <v>Manufacturing (ISIC 10-33) (W3,7)</v>
      </c>
      <c r="V38" s="853"/>
      <c r="W38" s="853"/>
      <c r="X38" s="853"/>
      <c r="Y38" s="853"/>
      <c r="Z38" s="853"/>
      <c r="AA38" s="853"/>
      <c r="AB38" s="854"/>
      <c r="AC38" s="272"/>
      <c r="AD38" s="592"/>
      <c r="AE38" s="592"/>
      <c r="AF38" s="592"/>
      <c r="AG38" s="270"/>
      <c r="AH38" s="270"/>
      <c r="AI38" s="270"/>
      <c r="AJ38" s="270"/>
      <c r="AK38" s="270"/>
      <c r="AL38" s="799"/>
      <c r="AM38" s="799"/>
      <c r="AN38" s="799"/>
      <c r="AO38" s="799"/>
      <c r="AP38" s="799"/>
      <c r="AQ38" s="799"/>
      <c r="AR38" s="799"/>
      <c r="AS38" s="799"/>
      <c r="AT38" s="799"/>
      <c r="AU38" s="799"/>
      <c r="AV38" s="271"/>
      <c r="AW38" s="271"/>
      <c r="AX38" s="270"/>
      <c r="AY38" s="439"/>
      <c r="AZ38" s="95"/>
      <c r="BA38" s="44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9"/>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40"/>
      <c r="AM39" s="440"/>
      <c r="AN39" s="440"/>
      <c r="AO39" s="440"/>
      <c r="AP39" s="440"/>
      <c r="AQ39" s="440"/>
      <c r="AR39" s="440"/>
      <c r="AS39" s="440"/>
      <c r="AT39" s="440"/>
      <c r="AU39" s="440"/>
      <c r="AV39" s="440"/>
      <c r="AW39" s="440"/>
      <c r="AX39" s="270"/>
      <c r="AY39" s="439"/>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c r="A40" s="262"/>
      <c r="B40" s="262"/>
      <c r="C40" s="260"/>
      <c r="D40" s="270"/>
      <c r="E40" s="273"/>
      <c r="F40" s="273"/>
      <c r="G40" s="273"/>
      <c r="H40" s="273"/>
      <c r="I40" s="273"/>
      <c r="J40" s="273"/>
      <c r="K40" s="273"/>
      <c r="L40" s="273"/>
      <c r="M40" s="273"/>
      <c r="N40" s="273"/>
      <c r="O40" s="273"/>
      <c r="P40" s="273"/>
      <c r="Q40" s="273"/>
      <c r="R40" s="273"/>
      <c r="S40" s="273"/>
      <c r="T40" s="273"/>
      <c r="U40" s="852" t="str">
        <f>D16&amp;" (W3,8)"</f>
        <v>Electricity, gas, steam and air conditioning supply  (ISIC 35) (W3,8)</v>
      </c>
      <c r="V40" s="853"/>
      <c r="W40" s="853"/>
      <c r="X40" s="853"/>
      <c r="Y40" s="853"/>
      <c r="Z40" s="853"/>
      <c r="AA40" s="853"/>
      <c r="AB40" s="854"/>
      <c r="AC40" s="273"/>
      <c r="AD40" s="273"/>
      <c r="AE40" s="273"/>
      <c r="AF40" s="273"/>
      <c r="AG40" s="270"/>
      <c r="AH40" s="270"/>
      <c r="AI40" s="270"/>
      <c r="AJ40" s="270"/>
      <c r="AK40" s="270"/>
      <c r="AL40" s="440"/>
      <c r="AM40" s="440"/>
      <c r="AN40" s="440"/>
      <c r="AO40" s="440"/>
      <c r="AP40" s="440"/>
      <c r="AQ40" s="440"/>
      <c r="AR40" s="440"/>
      <c r="AS40" s="440"/>
      <c r="AT40" s="440"/>
      <c r="AU40" s="440"/>
      <c r="AV40" s="440"/>
      <c r="AW40" s="440"/>
      <c r="AX40" s="270"/>
      <c r="AY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40"/>
      <c r="AM41" s="440"/>
      <c r="AN41" s="440"/>
      <c r="AO41" s="440"/>
      <c r="AP41" s="440"/>
      <c r="AQ41" s="440"/>
      <c r="AR41" s="440"/>
      <c r="AS41" s="440"/>
      <c r="AT41" s="440"/>
      <c r="AU41" s="440"/>
      <c r="AV41" s="440"/>
      <c r="AW41" s="440"/>
      <c r="AX41" s="270"/>
      <c r="AY41" s="439"/>
      <c r="AZ41" s="299" t="s">
        <v>60</v>
      </c>
      <c r="BA41" s="298" t="s">
        <v>62</v>
      </c>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95"/>
      <c r="CU41" s="267"/>
      <c r="CV41" s="267"/>
      <c r="CW41" s="267"/>
      <c r="CX41" s="267"/>
      <c r="CY41" s="267"/>
      <c r="CZ41" s="267"/>
      <c r="DA41" s="267"/>
      <c r="DB41" s="267"/>
      <c r="DC41" s="267"/>
      <c r="DD41" s="267"/>
      <c r="DE41" s="267"/>
      <c r="DF41" s="267"/>
      <c r="DG41" s="267"/>
      <c r="DH41" s="267"/>
      <c r="DI41" s="267"/>
    </row>
    <row r="42" spans="1:113" ht="24" customHeight="1">
      <c r="A42" s="262"/>
      <c r="B42" s="262"/>
      <c r="C42" s="260"/>
      <c r="D42" s="270"/>
      <c r="E42" s="273"/>
      <c r="F42" s="273"/>
      <c r="G42" s="273"/>
      <c r="H42" s="273"/>
      <c r="I42" s="273"/>
      <c r="J42" s="273"/>
      <c r="K42" s="273"/>
      <c r="L42" s="273"/>
      <c r="M42" s="273"/>
      <c r="N42" s="273"/>
      <c r="O42" s="273"/>
      <c r="P42" s="273"/>
      <c r="Q42" s="273"/>
      <c r="R42" s="273"/>
      <c r="S42" s="273"/>
      <c r="T42" s="273"/>
      <c r="U42" s="852" t="str">
        <f>D18&amp;" (W3,10)"</f>
        <v>Construction (ISIC 41-43) (W3,10)</v>
      </c>
      <c r="V42" s="853"/>
      <c r="W42" s="853"/>
      <c r="X42" s="853"/>
      <c r="Y42" s="853"/>
      <c r="Z42" s="853"/>
      <c r="AA42" s="853"/>
      <c r="AB42" s="854"/>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9"/>
      <c r="AZ42" s="95"/>
      <c r="BA42" s="44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9"/>
      <c r="CU42" s="267"/>
      <c r="CV42" s="267"/>
      <c r="CW42" s="267"/>
      <c r="CX42" s="267"/>
      <c r="CY42" s="267"/>
      <c r="CZ42" s="267"/>
      <c r="DA42" s="267"/>
      <c r="DB42" s="267"/>
      <c r="DC42" s="267"/>
      <c r="DD42" s="267"/>
      <c r="DE42" s="267"/>
      <c r="DF42" s="267"/>
      <c r="DG42" s="267"/>
      <c r="DH42" s="267"/>
      <c r="DI42" s="267"/>
    </row>
    <row r="43" spans="1:113" ht="2.25" customHeight="1">
      <c r="A43" s="262"/>
      <c r="B43" s="262"/>
      <c r="C43" s="260"/>
      <c r="D43" s="270"/>
      <c r="E43" s="861" t="str">
        <f>D9&amp;" (W3, 2)"</f>
        <v>Losses during transport by ISIC 36 (W3, 2)</v>
      </c>
      <c r="F43" s="870"/>
      <c r="G43" s="870"/>
      <c r="H43" s="871"/>
      <c r="I43" s="273"/>
      <c r="J43" s="273"/>
      <c r="K43" s="273"/>
      <c r="L43" s="273"/>
      <c r="M43" s="273"/>
      <c r="N43" s="273"/>
      <c r="O43" s="273"/>
      <c r="P43" s="273"/>
      <c r="Q43" s="273"/>
      <c r="R43" s="273"/>
      <c r="S43" s="273"/>
      <c r="T43" s="273"/>
      <c r="U43" s="273"/>
      <c r="V43" s="273"/>
      <c r="W43" s="273"/>
      <c r="X43" s="438"/>
      <c r="Y43" s="271"/>
      <c r="Z43" s="271"/>
      <c r="AA43" s="590"/>
      <c r="AB43" s="590"/>
      <c r="AC43" s="590"/>
      <c r="AD43" s="590"/>
      <c r="AE43" s="590"/>
      <c r="AF43" s="273"/>
      <c r="AG43" s="270"/>
      <c r="AH43" s="270"/>
      <c r="AI43" s="270"/>
      <c r="AJ43" s="270"/>
      <c r="AK43" s="270"/>
      <c r="AL43" s="528"/>
      <c r="AM43" s="528"/>
      <c r="AN43" s="528"/>
      <c r="AO43" s="528"/>
      <c r="AP43" s="528"/>
      <c r="AQ43" s="528"/>
      <c r="AR43" s="528"/>
      <c r="AS43" s="528"/>
      <c r="AT43" s="528"/>
      <c r="AU43" s="528"/>
      <c r="AV43" s="440"/>
      <c r="AW43" s="440"/>
      <c r="AX43" s="270"/>
      <c r="AY43" s="439"/>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c r="A44" s="262"/>
      <c r="B44" s="262"/>
      <c r="C44" s="260"/>
      <c r="D44" s="270"/>
      <c r="E44" s="872"/>
      <c r="F44" s="873"/>
      <c r="G44" s="873"/>
      <c r="H44" s="874"/>
      <c r="I44" s="273"/>
      <c r="J44" s="273"/>
      <c r="K44" s="273"/>
      <c r="L44" s="273"/>
      <c r="M44" s="273"/>
      <c r="N44" s="273"/>
      <c r="O44" s="273"/>
      <c r="P44" s="273"/>
      <c r="Q44" s="273"/>
      <c r="R44" s="273"/>
      <c r="S44" s="273"/>
      <c r="T44" s="273"/>
      <c r="U44" s="852" t="str">
        <f>D19&amp;" (W3,11)"</f>
        <v>Other economic activities (W3,11)</v>
      </c>
      <c r="V44" s="853"/>
      <c r="W44" s="853"/>
      <c r="X44" s="853"/>
      <c r="Y44" s="853"/>
      <c r="Z44" s="853"/>
      <c r="AA44" s="853"/>
      <c r="AB44" s="854"/>
      <c r="AC44" s="590"/>
      <c r="AD44" s="590"/>
      <c r="AE44" s="590"/>
      <c r="AF44" s="273"/>
      <c r="AG44" s="270"/>
      <c r="AH44" s="270"/>
      <c r="AI44" s="270"/>
      <c r="AJ44" s="270"/>
      <c r="AK44" s="270"/>
      <c r="AL44" s="271"/>
      <c r="AM44" s="271"/>
      <c r="AN44" s="271"/>
      <c r="AO44" s="271"/>
      <c r="AP44" s="271"/>
      <c r="AQ44" s="271"/>
      <c r="AR44" s="271"/>
      <c r="AS44" s="271"/>
      <c r="AT44" s="271"/>
      <c r="AU44" s="271"/>
      <c r="AV44" s="271"/>
      <c r="AW44" s="271"/>
      <c r="AX44" s="270"/>
      <c r="AY44" s="439"/>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5"/>
      <c r="AZ45" s="446"/>
      <c r="BA45" s="44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8" customFormat="1" ht="15.75">
      <c r="A46" s="407"/>
      <c r="B46" s="394">
        <v>1</v>
      </c>
      <c r="C46" s="283" t="s">
        <v>298</v>
      </c>
      <c r="D46" s="376"/>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7"/>
      <c r="AH46" s="286"/>
      <c r="AI46" s="287"/>
      <c r="AJ46" s="288"/>
      <c r="AK46" s="287"/>
      <c r="AL46" s="286"/>
      <c r="AM46" s="287"/>
      <c r="AN46" s="286"/>
      <c r="AO46" s="287"/>
      <c r="AP46" s="287"/>
      <c r="AQ46" s="287"/>
      <c r="AR46" s="287"/>
      <c r="AS46" s="287"/>
      <c r="AT46" s="338"/>
      <c r="AU46" s="337"/>
      <c r="AV46" s="287"/>
      <c r="AW46" s="287"/>
      <c r="AX46" s="414"/>
      <c r="AY46" s="197"/>
      <c r="AZ46" s="44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8"/>
      <c r="D47" s="378"/>
      <c r="E47" s="379"/>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80"/>
      <c r="AH47" s="320"/>
      <c r="AI47" s="321"/>
      <c r="AJ47" s="322"/>
      <c r="AK47" s="321"/>
      <c r="AL47" s="320"/>
      <c r="AM47" s="323"/>
      <c r="AN47" s="318"/>
      <c r="AO47" s="323"/>
      <c r="AP47" s="323"/>
      <c r="AQ47" s="323"/>
      <c r="AR47" s="323"/>
      <c r="AS47" s="323"/>
      <c r="AV47" s="323"/>
      <c r="AW47" s="323"/>
      <c r="AZ47" s="447"/>
    </row>
    <row r="48" spans="3:52" ht="18" customHeight="1">
      <c r="C48" s="294" t="s">
        <v>293</v>
      </c>
      <c r="D48" s="448" t="s">
        <v>296</v>
      </c>
      <c r="E48" s="381"/>
      <c r="F48" s="382"/>
      <c r="G48" s="382"/>
      <c r="H48" s="383"/>
      <c r="I48" s="384"/>
      <c r="J48" s="385"/>
      <c r="K48" s="384"/>
      <c r="L48" s="385"/>
      <c r="M48" s="384"/>
      <c r="N48" s="385"/>
      <c r="O48" s="384"/>
      <c r="P48" s="385"/>
      <c r="Q48" s="384"/>
      <c r="R48" s="385"/>
      <c r="S48" s="384"/>
      <c r="T48" s="385"/>
      <c r="U48" s="384"/>
      <c r="V48" s="385"/>
      <c r="W48" s="384"/>
      <c r="X48" s="383"/>
      <c r="Y48" s="384"/>
      <c r="Z48" s="383"/>
      <c r="AA48" s="384"/>
      <c r="AB48" s="383"/>
      <c r="AC48" s="384"/>
      <c r="AD48" s="383"/>
      <c r="AE48" s="384"/>
      <c r="AF48" s="383"/>
      <c r="AG48" s="386"/>
      <c r="AH48" s="383"/>
      <c r="AI48" s="384"/>
      <c r="AJ48" s="385"/>
      <c r="AK48" s="384"/>
      <c r="AL48" s="383"/>
      <c r="AM48" s="384"/>
      <c r="AN48" s="383"/>
      <c r="AO48" s="384"/>
      <c r="AP48" s="384"/>
      <c r="AQ48" s="384"/>
      <c r="AR48" s="384"/>
      <c r="AS48" s="384"/>
      <c r="AT48" s="383"/>
      <c r="AU48" s="384"/>
      <c r="AV48" s="384"/>
      <c r="AW48" s="384"/>
      <c r="AX48" s="449"/>
      <c r="AY48" s="409"/>
      <c r="AZ48" s="447"/>
    </row>
    <row r="49" spans="3:52" ht="18" customHeight="1">
      <c r="C49" s="515"/>
      <c r="D49" s="795"/>
      <c r="E49" s="796"/>
      <c r="F49" s="796"/>
      <c r="G49" s="796"/>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c r="AY49" s="450"/>
      <c r="AZ49" s="447"/>
    </row>
    <row r="50" spans="3:52" ht="18" customHeight="1">
      <c r="C50" s="515"/>
      <c r="D50" s="807"/>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L50" s="808"/>
      <c r="AM50" s="808"/>
      <c r="AN50" s="808"/>
      <c r="AO50" s="808"/>
      <c r="AP50" s="808"/>
      <c r="AQ50" s="808"/>
      <c r="AR50" s="808"/>
      <c r="AS50" s="808"/>
      <c r="AT50" s="808"/>
      <c r="AU50" s="808"/>
      <c r="AV50" s="808"/>
      <c r="AW50" s="808"/>
      <c r="AX50" s="809"/>
      <c r="AY50" s="450"/>
      <c r="AZ50" s="447"/>
    </row>
    <row r="51" spans="3:52" ht="18" customHeight="1">
      <c r="C51" s="515"/>
      <c r="D51" s="807"/>
      <c r="E51" s="808"/>
      <c r="F51" s="808"/>
      <c r="G51" s="808"/>
      <c r="H51" s="808"/>
      <c r="I51" s="808"/>
      <c r="J51" s="808"/>
      <c r="K51" s="808"/>
      <c r="L51" s="808"/>
      <c r="M51" s="808"/>
      <c r="N51" s="808"/>
      <c r="O51" s="808"/>
      <c r="P51" s="808"/>
      <c r="Q51" s="808"/>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8"/>
      <c r="AS51" s="808"/>
      <c r="AT51" s="808"/>
      <c r="AU51" s="808"/>
      <c r="AV51" s="808"/>
      <c r="AW51" s="808"/>
      <c r="AX51" s="809"/>
      <c r="AY51" s="450"/>
      <c r="AZ51" s="447"/>
    </row>
    <row r="52" spans="3:52"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Y52" s="450"/>
      <c r="AZ52" s="447"/>
    </row>
    <row r="53" spans="3:52"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Y53" s="450"/>
      <c r="AZ53" s="447"/>
    </row>
    <row r="54" spans="3:52"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Y54" s="450"/>
      <c r="AZ54" s="447"/>
    </row>
    <row r="55" spans="3:52"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s="450"/>
      <c r="AZ55" s="447"/>
    </row>
    <row r="56" spans="3:97"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c r="AY56" s="450"/>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c r="CG56" s="409"/>
      <c r="CH56" s="409"/>
      <c r="CI56" s="409"/>
      <c r="CJ56" s="409"/>
      <c r="CK56" s="409"/>
      <c r="CL56" s="409"/>
      <c r="CM56" s="409"/>
      <c r="CN56" s="409"/>
      <c r="CO56" s="409"/>
      <c r="CP56" s="409"/>
      <c r="CQ56" s="409"/>
      <c r="CR56" s="409"/>
      <c r="CS56" s="409"/>
    </row>
    <row r="57" spans="3:98"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c r="AY57" s="450"/>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09"/>
      <c r="CO57" s="409"/>
      <c r="CP57" s="409"/>
      <c r="CQ57" s="409"/>
      <c r="CR57" s="409"/>
      <c r="CS57" s="409"/>
      <c r="CT57" s="409"/>
    </row>
    <row r="58" spans="3:98"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c r="AY58" s="450"/>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row>
    <row r="59" spans="3:98" ht="18" customHeight="1">
      <c r="C59" s="515"/>
      <c r="D59" s="807"/>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8"/>
      <c r="AU59" s="808"/>
      <c r="AV59" s="808"/>
      <c r="AW59" s="808"/>
      <c r="AX59" s="809"/>
      <c r="AY59" s="450"/>
      <c r="CT59" s="409"/>
    </row>
    <row r="60" spans="3:51"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c r="AY60" s="450"/>
    </row>
    <row r="61" spans="3:51"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c r="AY61" s="450"/>
    </row>
    <row r="62" spans="3:51"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c r="AY62" s="450"/>
    </row>
    <row r="63" spans="3:51"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c r="AY63" s="450"/>
    </row>
    <row r="64" spans="3:51"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c r="AY64" s="450"/>
    </row>
    <row r="65" spans="3:51"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c r="AY65" s="450"/>
    </row>
    <row r="66" spans="3:51"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c r="AY66" s="450"/>
    </row>
    <row r="67" spans="3:51" ht="18" customHeight="1">
      <c r="C67" s="515"/>
      <c r="D67" s="807"/>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8"/>
      <c r="AN67" s="808"/>
      <c r="AO67" s="808"/>
      <c r="AP67" s="808"/>
      <c r="AQ67" s="808"/>
      <c r="AR67" s="808"/>
      <c r="AS67" s="808"/>
      <c r="AT67" s="808"/>
      <c r="AU67" s="808"/>
      <c r="AV67" s="808"/>
      <c r="AW67" s="808"/>
      <c r="AX67" s="809"/>
      <c r="AY67" s="450"/>
    </row>
    <row r="68" spans="3:51"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s="450"/>
    </row>
    <row r="69" spans="3:51" ht="18" customHeight="1">
      <c r="C69" s="552"/>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c r="AY69" s="450"/>
    </row>
    <row r="70" spans="3:51" ht="18" customHeight="1">
      <c r="C70" s="550"/>
      <c r="D70" s="817"/>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9"/>
      <c r="AY70" s="450"/>
    </row>
    <row r="71" spans="1:98" s="267" customFormat="1" ht="10.5" customHeight="1">
      <c r="A71" s="451"/>
      <c r="B71" s="398"/>
      <c r="C71" s="408"/>
      <c r="D71" s="408"/>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2"/>
      <c r="AH71" s="203"/>
      <c r="AI71" s="204"/>
      <c r="AJ71" s="205"/>
      <c r="AK71" s="204"/>
      <c r="AL71" s="203"/>
      <c r="AM71" s="204"/>
      <c r="AN71" s="203"/>
      <c r="AO71" s="323"/>
      <c r="AP71" s="323"/>
      <c r="AQ71" s="323"/>
      <c r="AR71" s="323"/>
      <c r="AS71" s="323"/>
      <c r="AT71" s="318"/>
      <c r="AU71" s="323"/>
      <c r="AV71" s="323"/>
      <c r="AW71" s="323"/>
      <c r="AY71" s="40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1"/>
      <c r="B72" s="398"/>
      <c r="C72" s="408"/>
      <c r="D72" s="408"/>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1"/>
      <c r="B73" s="398"/>
      <c r="C73" s="408"/>
      <c r="D73" s="408"/>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8"/>
      <c r="D74" s="408"/>
    </row>
    <row r="75" spans="3:40" ht="12.75">
      <c r="C75" s="391"/>
      <c r="D75" s="391"/>
      <c r="E75" s="391"/>
      <c r="F75" s="391"/>
      <c r="G75" s="391"/>
      <c r="H75" s="318"/>
      <c r="I75" s="323"/>
      <c r="J75" s="396"/>
      <c r="K75" s="323"/>
      <c r="L75" s="396"/>
      <c r="M75" s="323"/>
      <c r="N75" s="396"/>
      <c r="O75" s="323"/>
      <c r="P75" s="396"/>
      <c r="Q75" s="323"/>
      <c r="R75" s="396"/>
      <c r="S75" s="323"/>
      <c r="T75" s="396"/>
      <c r="U75" s="323"/>
      <c r="V75" s="396"/>
      <c r="W75" s="323"/>
      <c r="X75" s="318"/>
      <c r="Y75" s="323"/>
      <c r="Z75" s="318"/>
      <c r="AA75" s="323"/>
      <c r="AB75" s="318"/>
      <c r="AC75" s="323"/>
      <c r="AD75" s="318"/>
      <c r="AE75" s="323"/>
      <c r="AF75" s="318"/>
      <c r="AG75" s="323"/>
      <c r="AH75" s="318"/>
      <c r="AI75" s="323"/>
      <c r="AJ75" s="396"/>
      <c r="AK75" s="323"/>
      <c r="AL75" s="318"/>
      <c r="AM75" s="323"/>
      <c r="AN75" s="318"/>
    </row>
  </sheetData>
  <sheetProtection sheet="1" objects="1" scenarios="1" formatCells="0" formatColumns="0" formatRows="0" insertColumns="0"/>
  <mergeCells count="46">
    <mergeCell ref="D49:AX49"/>
    <mergeCell ref="D34:D38"/>
    <mergeCell ref="K33:N38"/>
    <mergeCell ref="U44:AB44"/>
    <mergeCell ref="AL34:AU34"/>
    <mergeCell ref="AL38:AU38"/>
    <mergeCell ref="U40:AB40"/>
    <mergeCell ref="E43:H44"/>
    <mergeCell ref="P34:Q34"/>
    <mergeCell ref="U42:AB42"/>
    <mergeCell ref="D53:AX53"/>
    <mergeCell ref="D50:AX50"/>
    <mergeCell ref="D51:AX51"/>
    <mergeCell ref="D52:AX52"/>
    <mergeCell ref="D58:AX58"/>
    <mergeCell ref="D59:AX59"/>
    <mergeCell ref="D70:AX70"/>
    <mergeCell ref="D66:AX66"/>
    <mergeCell ref="D67:AX67"/>
    <mergeCell ref="D68:AX68"/>
    <mergeCell ref="D69:AX69"/>
    <mergeCell ref="D60:AX60"/>
    <mergeCell ref="D62:AX62"/>
    <mergeCell ref="D61:AX61"/>
    <mergeCell ref="D65:AX65"/>
    <mergeCell ref="D63:AX63"/>
    <mergeCell ref="D26:AX26"/>
    <mergeCell ref="BG3:BI3"/>
    <mergeCell ref="U34:AB34"/>
    <mergeCell ref="U38:AB38"/>
    <mergeCell ref="U36:AB36"/>
    <mergeCell ref="BM3:BO3"/>
    <mergeCell ref="D27:AX27"/>
    <mergeCell ref="D30:AX30"/>
    <mergeCell ref="C5:AN5"/>
    <mergeCell ref="D29:AU29"/>
    <mergeCell ref="AL32:AU32"/>
    <mergeCell ref="D28:AW28"/>
    <mergeCell ref="D31:AX31"/>
    <mergeCell ref="D56:AX56"/>
    <mergeCell ref="D57:AX57"/>
    <mergeCell ref="D64:AX64"/>
    <mergeCell ref="U32:AB32"/>
    <mergeCell ref="D54:AX54"/>
    <mergeCell ref="D55:AX55"/>
    <mergeCell ref="AH34:AI34"/>
  </mergeCells>
  <conditionalFormatting sqref="F10 H10">
    <cfRule type="cellIs" priority="41" dxfId="335" operator="lessThan" stopIfTrue="1">
      <formula>0.99*(F12+F13+F14+F15+F16+F18+F19)</formula>
    </cfRule>
  </conditionalFormatting>
  <conditionalFormatting sqref="F8 H8">
    <cfRule type="cellIs" priority="40" dxfId="336" operator="lessThan" stopIfTrue="1">
      <formula>0.99*(F9+F10)</formula>
    </cfRule>
  </conditionalFormatting>
  <conditionalFormatting sqref="BC28:CJ28 BC30:CJ31 CT31:CT32 CL30:CS31 CT29 CL28:CS28">
    <cfRule type="cellIs" priority="38" dxfId="335"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335" operator="equal" stopIfTrue="1">
      <formula>"&gt; 25%"</formula>
    </cfRule>
  </conditionalFormatting>
  <conditionalFormatting sqref="BE8:BE10 BE12:BE19">
    <cfRule type="cellIs" priority="39" dxfId="335" operator="equal" stopIfTrue="1">
      <formula>"&gt; 100%"</formula>
    </cfRule>
  </conditionalFormatting>
  <conditionalFormatting sqref="CS9:CS22">
    <cfRule type="cellIs" priority="26" dxfId="335" operator="equal" stopIfTrue="1">
      <formula>"&gt; 25%"</formula>
    </cfRule>
  </conditionalFormatting>
  <conditionalFormatting sqref="CK21:CK23 CK8:CK10 CK12:CK19 CM8:CM23">
    <cfRule type="cellIs" priority="35" dxfId="335" operator="equal" stopIfTrue="1">
      <formula>"&gt; 25%"</formula>
    </cfRule>
  </conditionalFormatting>
  <conditionalFormatting sqref="CO8">
    <cfRule type="cellIs" priority="34" dxfId="335" operator="equal" stopIfTrue="1">
      <formula>"&gt; 25%"</formula>
    </cfRule>
  </conditionalFormatting>
  <conditionalFormatting sqref="CQ8">
    <cfRule type="cellIs" priority="33" dxfId="335" operator="equal" stopIfTrue="1">
      <formula>"&gt; 25%"</formula>
    </cfRule>
  </conditionalFormatting>
  <conditionalFormatting sqref="CS8">
    <cfRule type="cellIs" priority="32" dxfId="335" operator="equal" stopIfTrue="1">
      <formula>"&gt; 25%"</formula>
    </cfRule>
  </conditionalFormatting>
  <conditionalFormatting sqref="CS8">
    <cfRule type="cellIs" priority="31" dxfId="335" operator="equal" stopIfTrue="1">
      <formula>"&gt; 25%"</formula>
    </cfRule>
  </conditionalFormatting>
  <conditionalFormatting sqref="CO9:CO22 CQ9:CQ22">
    <cfRule type="cellIs" priority="30" dxfId="335" operator="equal" stopIfTrue="1">
      <formula>"&gt; 25%"</formula>
    </cfRule>
  </conditionalFormatting>
  <conditionalFormatting sqref="CO9:CO22">
    <cfRule type="cellIs" priority="29" dxfId="335" operator="equal" stopIfTrue="1">
      <formula>"&gt; 25%"</formula>
    </cfRule>
  </conditionalFormatting>
  <conditionalFormatting sqref="CQ9:CQ22">
    <cfRule type="cellIs" priority="28" dxfId="335" operator="equal" stopIfTrue="1">
      <formula>"&gt; 25%"</formula>
    </cfRule>
  </conditionalFormatting>
  <conditionalFormatting sqref="CS9:CS22">
    <cfRule type="cellIs" priority="27" dxfId="335" operator="equal" stopIfTrue="1">
      <formula>"&gt; 25%"</formula>
    </cfRule>
  </conditionalFormatting>
  <conditionalFormatting sqref="CQ23 CO23 CS23:CT23">
    <cfRule type="cellIs" priority="25" dxfId="335" operator="equal" stopIfTrue="1">
      <formula>"&gt; 25%"</formula>
    </cfRule>
  </conditionalFormatting>
  <conditionalFormatting sqref="CQ23 CS23">
    <cfRule type="cellIs" priority="24" dxfId="335" operator="equal" stopIfTrue="1">
      <formula>"&gt; 25%"</formula>
    </cfRule>
  </conditionalFormatting>
  <conditionalFormatting sqref="BG9:BG22">
    <cfRule type="cellIs" priority="23" dxfId="335" operator="equal" stopIfTrue="1">
      <formula>"&gt; 25%"</formula>
    </cfRule>
  </conditionalFormatting>
  <conditionalFormatting sqref="BG23">
    <cfRule type="cellIs" priority="22" dxfId="335" operator="equal" stopIfTrue="1">
      <formula>"&gt; 25%"</formula>
    </cfRule>
  </conditionalFormatting>
  <conditionalFormatting sqref="CK28 CK30:CK31">
    <cfRule type="cellIs" priority="21" dxfId="335" operator="equal" stopIfTrue="1">
      <formula>"&lt;&gt;"</formula>
    </cfRule>
  </conditionalFormatting>
  <conditionalFormatting sqref="J10 L10">
    <cfRule type="cellIs" priority="20" dxfId="335" operator="lessThan" stopIfTrue="1">
      <formula>0.99*(J12+J13+J14+J15+J16+J18+J19)</formula>
    </cfRule>
  </conditionalFormatting>
  <conditionalFormatting sqref="J8 L8">
    <cfRule type="cellIs" priority="19" dxfId="336" operator="lessThan" stopIfTrue="1">
      <formula>0.99*(J9+J10)</formula>
    </cfRule>
  </conditionalFormatting>
  <conditionalFormatting sqref="N10 P10">
    <cfRule type="cellIs" priority="18" dxfId="335" operator="lessThan" stopIfTrue="1">
      <formula>0.99*(N12+N13+N14+N15+N16+N18+N19)</formula>
    </cfRule>
  </conditionalFormatting>
  <conditionalFormatting sqref="N8 P8">
    <cfRule type="cellIs" priority="17" dxfId="336" operator="lessThan" stopIfTrue="1">
      <formula>0.99*(N9+N10)</formula>
    </cfRule>
  </conditionalFormatting>
  <conditionalFormatting sqref="R10 T10">
    <cfRule type="cellIs" priority="16" dxfId="335" operator="lessThan" stopIfTrue="1">
      <formula>0.99*(R12+R13+R14+R15+R16+R18+R19)</formula>
    </cfRule>
  </conditionalFormatting>
  <conditionalFormatting sqref="R8 T8">
    <cfRule type="cellIs" priority="15" dxfId="336" operator="lessThan" stopIfTrue="1">
      <formula>0.99*(R9+R10)</formula>
    </cfRule>
  </conditionalFormatting>
  <conditionalFormatting sqref="V10 X10">
    <cfRule type="cellIs" priority="14" dxfId="335" operator="lessThan" stopIfTrue="1">
      <formula>0.99*(V12+V13+V14+V15+V16+V18+V19)</formula>
    </cfRule>
  </conditionalFormatting>
  <conditionalFormatting sqref="V8 X8">
    <cfRule type="cellIs" priority="13" dxfId="336" operator="lessThan" stopIfTrue="1">
      <formula>0.99*(V9+V10)</formula>
    </cfRule>
  </conditionalFormatting>
  <conditionalFormatting sqref="Z10 AB10">
    <cfRule type="cellIs" priority="12" dxfId="335" operator="lessThan" stopIfTrue="1">
      <formula>0.99*(Z12+Z13+Z14+Z15+Z16+Z18+Z19)</formula>
    </cfRule>
  </conditionalFormatting>
  <conditionalFormatting sqref="Z8 AB8">
    <cfRule type="cellIs" priority="11" dxfId="336" operator="lessThan" stopIfTrue="1">
      <formula>0.99*(Z9+Z10)</formula>
    </cfRule>
  </conditionalFormatting>
  <conditionalFormatting sqref="AD10 AF10">
    <cfRule type="cellIs" priority="10" dxfId="335" operator="lessThan" stopIfTrue="1">
      <formula>0.99*(AD12+AD13+AD14+AD15+AD16+AD18+AD19)</formula>
    </cfRule>
  </conditionalFormatting>
  <conditionalFormatting sqref="AD8 AF8">
    <cfRule type="cellIs" priority="9" dxfId="336" operator="lessThan" stopIfTrue="1">
      <formula>0.99*(AD9+AD10)</formula>
    </cfRule>
  </conditionalFormatting>
  <conditionalFormatting sqref="AH10 AJ10">
    <cfRule type="cellIs" priority="8" dxfId="335" operator="lessThan" stopIfTrue="1">
      <formula>0.99*(AH12+AH13+AH14+AH15+AH16+AH18+AH19)</formula>
    </cfRule>
  </conditionalFormatting>
  <conditionalFormatting sqref="AH8 AJ8">
    <cfRule type="cellIs" priority="7" dxfId="336" operator="lessThan" stopIfTrue="1">
      <formula>0.99*(AH9+AH10)</formula>
    </cfRule>
  </conditionalFormatting>
  <conditionalFormatting sqref="AL10 AN10">
    <cfRule type="cellIs" priority="6" dxfId="335" operator="lessThan" stopIfTrue="1">
      <formula>0.99*(AL12+AL13+AL14+AL15+AL16+AL18+AL19)</formula>
    </cfRule>
  </conditionalFormatting>
  <conditionalFormatting sqref="AL8 AN8">
    <cfRule type="cellIs" priority="5" dxfId="336" operator="lessThan" stopIfTrue="1">
      <formula>0.99*(AL9+AL10)</formula>
    </cfRule>
  </conditionalFormatting>
  <conditionalFormatting sqref="AP10 AR10">
    <cfRule type="cellIs" priority="4" dxfId="335" operator="lessThan" stopIfTrue="1">
      <formula>0.99*(AP12+AP13+AP14+AP15+AP16+AP18+AP19)</formula>
    </cfRule>
  </conditionalFormatting>
  <conditionalFormatting sqref="AP8 AR8">
    <cfRule type="cellIs" priority="3" dxfId="336" operator="lessThan" stopIfTrue="1">
      <formula>0.99*(AP9+AP10)</formula>
    </cfRule>
  </conditionalFormatting>
  <conditionalFormatting sqref="AT10 AV10">
    <cfRule type="cellIs" priority="2" dxfId="335" operator="lessThan" stopIfTrue="1">
      <formula>0.99*(AT12+AT13+AT14+AT15+AT16+AT18+AT19)</formula>
    </cfRule>
  </conditionalFormatting>
  <conditionalFormatting sqref="AT8 AV8">
    <cfRule type="cellIs" priority="1" dxfId="336"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80" zoomScaleNormal="80" zoomScaleSheetLayoutView="40" workbookViewId="0" topLeftCell="C7">
      <selection activeCell="F8" sqref="F8"/>
    </sheetView>
  </sheetViews>
  <sheetFormatPr defaultColWidth="12" defaultRowHeight="12.75"/>
  <cols>
    <col min="1" max="1" width="6.66015625" style="162" hidden="1" customWidth="1"/>
    <col min="2" max="2" width="6" style="163" hidden="1" customWidth="1"/>
    <col min="3" max="3" width="6.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8" customFormat="1" ht="15.7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3"/>
      <c r="AY1" s="446"/>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row>
    <row r="2" spans="5:49" ht="6" customHeight="1">
      <c r="E2" s="314"/>
      <c r="F2" s="314"/>
      <c r="G2" s="314"/>
      <c r="H2" s="318"/>
      <c r="AE2" s="323"/>
      <c r="AF2" s="318"/>
      <c r="AG2" s="323"/>
      <c r="AH2" s="318"/>
      <c r="AI2" s="323"/>
      <c r="AJ2" s="396"/>
      <c r="AK2" s="323"/>
      <c r="AL2" s="318"/>
      <c r="AM2" s="323"/>
      <c r="AN2" s="318"/>
      <c r="AO2" s="323"/>
      <c r="AP2" s="323"/>
      <c r="AQ2" s="323"/>
      <c r="AR2" s="323"/>
      <c r="AS2" s="323"/>
      <c r="AT2" s="318"/>
      <c r="AV2" s="323"/>
      <c r="AW2" s="323"/>
    </row>
    <row r="3" spans="1:101" s="335" customFormat="1" ht="17.25" customHeight="1">
      <c r="A3" s="262"/>
      <c r="B3" s="262">
        <v>454</v>
      </c>
      <c r="C3" s="319" t="s">
        <v>297</v>
      </c>
      <c r="D3" s="29" t="s">
        <v>407</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5"/>
      <c r="AZ3" s="326" t="s">
        <v>49</v>
      </c>
      <c r="BA3" s="410"/>
      <c r="BB3" s="333"/>
      <c r="BC3" s="411"/>
      <c r="BD3" s="411"/>
      <c r="BE3" s="454"/>
      <c r="BF3" s="454"/>
      <c r="BG3" s="454"/>
      <c r="BH3" s="454"/>
      <c r="BI3" s="412"/>
      <c r="BJ3" s="412"/>
      <c r="BK3" s="412"/>
      <c r="BL3" s="412"/>
      <c r="BM3" s="454"/>
      <c r="BN3" s="454"/>
      <c r="BO3" s="412"/>
      <c r="BP3" s="412"/>
      <c r="BQ3" s="412"/>
      <c r="BR3" s="412"/>
      <c r="BS3" s="412"/>
      <c r="BT3" s="412"/>
      <c r="BU3" s="413"/>
      <c r="BV3" s="413"/>
      <c r="BW3" s="333"/>
      <c r="BX3" s="333"/>
      <c r="BY3" s="333"/>
      <c r="BZ3" s="333"/>
      <c r="CA3" s="333"/>
      <c r="CB3" s="333"/>
      <c r="CC3" s="413"/>
      <c r="CD3" s="413"/>
      <c r="CE3" s="333"/>
      <c r="CF3" s="333"/>
      <c r="CG3" s="333"/>
      <c r="CH3" s="333"/>
      <c r="CI3" s="333"/>
      <c r="CJ3" s="333"/>
      <c r="CK3" s="333"/>
      <c r="CL3" s="333"/>
      <c r="CM3" s="333"/>
      <c r="CN3" s="333"/>
      <c r="CO3" s="333"/>
      <c r="CP3" s="333"/>
      <c r="CQ3" s="410"/>
      <c r="CR3" s="410"/>
      <c r="CS3" s="333"/>
      <c r="CT3" s="333"/>
      <c r="CU3" s="410"/>
      <c r="CV3" s="410"/>
      <c r="CW3" s="410"/>
    </row>
    <row r="4" spans="3:52" ht="6" customHeight="1">
      <c r="C4" s="455"/>
      <c r="D4" s="455"/>
      <c r="E4" s="371"/>
      <c r="F4" s="371"/>
      <c r="G4" s="371"/>
      <c r="H4" s="323"/>
      <c r="I4" s="323"/>
      <c r="J4" s="396"/>
      <c r="K4" s="323"/>
      <c r="L4" s="396"/>
      <c r="M4" s="323"/>
      <c r="N4" s="396"/>
      <c r="O4" s="323"/>
      <c r="P4" s="396"/>
      <c r="Q4" s="323"/>
      <c r="R4" s="396"/>
      <c r="S4" s="323"/>
      <c r="T4" s="396"/>
      <c r="U4" s="323"/>
      <c r="V4" s="396"/>
      <c r="W4" s="323"/>
      <c r="X4" s="318"/>
      <c r="Y4" s="323"/>
      <c r="Z4" s="318"/>
      <c r="AA4" s="323"/>
      <c r="AB4" s="318"/>
      <c r="AC4" s="323"/>
      <c r="AE4" s="323"/>
      <c r="AF4" s="318"/>
      <c r="AG4" s="323"/>
      <c r="AH4" s="318"/>
      <c r="AI4" s="323"/>
      <c r="AJ4" s="396"/>
      <c r="AK4" s="323"/>
      <c r="AL4" s="318"/>
      <c r="AM4" s="323"/>
      <c r="AN4" s="456"/>
      <c r="AO4" s="323"/>
      <c r="AP4" s="323"/>
      <c r="AQ4" s="323"/>
      <c r="AR4" s="323"/>
      <c r="AS4" s="323"/>
      <c r="AT4" s="318"/>
      <c r="AV4" s="323"/>
      <c r="AW4" s="323"/>
      <c r="AZ4" s="300"/>
    </row>
    <row r="5" spans="1:101" s="408" customFormat="1" ht="18" customHeight="1">
      <c r="A5" s="407"/>
      <c r="B5" s="163">
        <v>7</v>
      </c>
      <c r="C5" s="824" t="s">
        <v>207</v>
      </c>
      <c r="D5" s="824"/>
      <c r="E5" s="857"/>
      <c r="F5" s="857"/>
      <c r="G5" s="857"/>
      <c r="H5" s="857"/>
      <c r="I5" s="826"/>
      <c r="J5" s="826"/>
      <c r="K5" s="826"/>
      <c r="L5" s="826"/>
      <c r="M5" s="826"/>
      <c r="N5" s="826"/>
      <c r="O5" s="826"/>
      <c r="P5" s="826"/>
      <c r="Q5" s="826"/>
      <c r="R5" s="826"/>
      <c r="S5" s="826"/>
      <c r="T5" s="826"/>
      <c r="U5" s="826"/>
      <c r="V5" s="826"/>
      <c r="W5" s="826"/>
      <c r="X5" s="857"/>
      <c r="Y5" s="826"/>
      <c r="Z5" s="857"/>
      <c r="AA5" s="826"/>
      <c r="AB5" s="857"/>
      <c r="AC5" s="826"/>
      <c r="AD5" s="857"/>
      <c r="AE5" s="826"/>
      <c r="AF5" s="857"/>
      <c r="AG5" s="826"/>
      <c r="AH5" s="857"/>
      <c r="AI5" s="826"/>
      <c r="AJ5" s="826"/>
      <c r="AK5" s="826"/>
      <c r="AL5" s="857"/>
      <c r="AM5" s="826"/>
      <c r="AN5" s="857"/>
      <c r="AO5" s="337"/>
      <c r="AP5" s="337"/>
      <c r="AQ5" s="337"/>
      <c r="AR5" s="337"/>
      <c r="AS5" s="337"/>
      <c r="AT5" s="338"/>
      <c r="AU5" s="337"/>
      <c r="AV5" s="337"/>
      <c r="AW5" s="337"/>
      <c r="AX5" s="414"/>
      <c r="AY5" s="446"/>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row>
    <row r="6" spans="1:101"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row>
    <row r="7" spans="2:101"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Z7" s="215" t="s">
        <v>287</v>
      </c>
      <c r="BA7" s="215" t="s">
        <v>288</v>
      </c>
      <c r="BB7" s="215" t="s">
        <v>291</v>
      </c>
      <c r="BC7" s="214">
        <v>1990</v>
      </c>
      <c r="BD7" s="214"/>
      <c r="BE7" s="215">
        <v>1995</v>
      </c>
      <c r="BF7" s="458"/>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9" t="s">
        <v>88</v>
      </c>
      <c r="E8" s="237" t="s">
        <v>300</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v>98.4</v>
      </c>
      <c r="AK8" s="556" t="s">
        <v>649</v>
      </c>
      <c r="AL8" s="573">
        <v>98.4</v>
      </c>
      <c r="AM8" s="556" t="s">
        <v>649</v>
      </c>
      <c r="AN8" s="573">
        <v>98.4</v>
      </c>
      <c r="AO8" s="556" t="s">
        <v>649</v>
      </c>
      <c r="AP8" s="573">
        <v>98.4</v>
      </c>
      <c r="AQ8" s="556" t="s">
        <v>649</v>
      </c>
      <c r="AR8" s="573">
        <v>98.4</v>
      </c>
      <c r="AS8" s="556" t="s">
        <v>649</v>
      </c>
      <c r="AT8" s="573">
        <v>98.4</v>
      </c>
      <c r="AU8" s="556" t="s">
        <v>649</v>
      </c>
      <c r="AV8" s="573">
        <v>98.4</v>
      </c>
      <c r="AW8" s="556" t="s">
        <v>649</v>
      </c>
      <c r="AZ8" s="358">
        <v>1</v>
      </c>
      <c r="BA8" s="460" t="s">
        <v>88</v>
      </c>
      <c r="BB8" s="81" t="s">
        <v>575</v>
      </c>
      <c r="BC8" s="461" t="s">
        <v>82</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ok</v>
      </c>
      <c r="CJ8" s="96"/>
      <c r="CK8" s="96" t="str">
        <f aca="true" t="shared" si="15" ref="CK8:CK27">IF(OR(ISBLANK(AL8),ISBLANK(AN8)),"N/A",IF(ABS((AN8-AL8)/AL8)&gt;0.25,"&gt; 25%","ok"))</f>
        <v>ok</v>
      </c>
      <c r="CL8" s="96"/>
      <c r="CM8" s="96" t="str">
        <f aca="true" t="shared" si="16" ref="CM8:CM27">IF(OR(ISBLANK(AN8),ISBLANK(AP8)),"N/A",IF(ABS((AP8-AN8)/AN8)&gt;0.25,"&gt; 25%","ok"))</f>
        <v>ok</v>
      </c>
      <c r="CN8" s="96"/>
      <c r="CO8" s="96" t="str">
        <f aca="true" t="shared" si="17" ref="CO8:CO27">IF(OR(ISBLANK(AP8),ISBLANK(AR8)),"N/A",IF(ABS((AR8-AP8)/AP8)&gt;0.25,"&gt; 25%","ok"))</f>
        <v>ok</v>
      </c>
      <c r="CP8" s="96"/>
      <c r="CQ8" s="96" t="str">
        <f aca="true" t="shared" si="18" ref="CQ8:CQ27">IF(OR(ISBLANK(AR8),ISBLANK(AT8)),"N/A",IF(ABS((AT8-AR8)/AR8)&gt;0.25,"&gt; 25%","ok"))</f>
        <v>ok</v>
      </c>
      <c r="CR8" s="96"/>
      <c r="CS8" s="96" t="str">
        <f aca="true" t="shared" si="19" ref="CS8:CS27">IF(OR(ISBLANK(AT8),ISBLANK(AV8)),"N/A",IF(ABS((AV8-AT8)/AT8)&gt;0.25,"&gt; 25%","ok"))</f>
        <v>ok</v>
      </c>
      <c r="CT8" s="96"/>
      <c r="CU8" s="651"/>
      <c r="CV8" s="96"/>
      <c r="CW8" s="96"/>
    </row>
    <row r="9" spans="2:103" ht="34.5" customHeight="1">
      <c r="B9" s="462">
        <v>85</v>
      </c>
      <c r="C9" s="237">
        <v>2</v>
      </c>
      <c r="D9" s="631" t="s">
        <v>592</v>
      </c>
      <c r="E9" s="237" t="s">
        <v>300</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Z9" s="81">
        <v>2</v>
      </c>
      <c r="BA9" s="426" t="s">
        <v>447</v>
      </c>
      <c r="BB9" s="81" t="s">
        <v>575</v>
      </c>
      <c r="BC9" s="114" t="s">
        <v>82</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51"/>
      <c r="CV9" s="81"/>
      <c r="CW9" s="96"/>
      <c r="CX9" s="267"/>
      <c r="CY9" s="267"/>
    </row>
    <row r="10" spans="2:103" ht="34.5" customHeight="1">
      <c r="B10" s="467">
        <v>140</v>
      </c>
      <c r="C10" s="237">
        <v>3</v>
      </c>
      <c r="D10" s="631" t="s">
        <v>593</v>
      </c>
      <c r="E10" s="237" t="s">
        <v>300</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Z10" s="81">
        <v>3</v>
      </c>
      <c r="BA10" s="426" t="s">
        <v>520</v>
      </c>
      <c r="BB10" s="81" t="s">
        <v>575</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51"/>
      <c r="CV10" s="81"/>
      <c r="CW10" s="96"/>
      <c r="CX10" s="267"/>
      <c r="CY10" s="267"/>
    </row>
    <row r="11" spans="2:103" ht="18.75" customHeight="1">
      <c r="B11" s="219">
        <v>155</v>
      </c>
      <c r="C11" s="237">
        <v>4</v>
      </c>
      <c r="D11" s="631" t="s">
        <v>385</v>
      </c>
      <c r="E11" s="237" t="s">
        <v>300</v>
      </c>
      <c r="F11" s="573"/>
      <c r="G11" s="556"/>
      <c r="H11" s="573"/>
      <c r="I11" s="556"/>
      <c r="J11" s="573"/>
      <c r="K11" s="556"/>
      <c r="L11" s="573"/>
      <c r="M11" s="556"/>
      <c r="N11" s="573"/>
      <c r="O11" s="556"/>
      <c r="P11" s="573"/>
      <c r="Q11" s="556"/>
      <c r="R11" s="573"/>
      <c r="S11" s="556"/>
      <c r="T11" s="573"/>
      <c r="U11" s="556"/>
      <c r="V11" s="573"/>
      <c r="W11" s="556"/>
      <c r="X11" s="573"/>
      <c r="Y11" s="556"/>
      <c r="Z11" s="573"/>
      <c r="AA11" s="556"/>
      <c r="AB11" s="573"/>
      <c r="AC11" s="556"/>
      <c r="AD11" s="573"/>
      <c r="AE11" s="556"/>
      <c r="AF11" s="573"/>
      <c r="AG11" s="556"/>
      <c r="AH11" s="573"/>
      <c r="AI11" s="556"/>
      <c r="AJ11" s="573"/>
      <c r="AK11" s="556"/>
      <c r="AL11" s="573"/>
      <c r="AM11" s="556"/>
      <c r="AN11" s="573"/>
      <c r="AO11" s="556"/>
      <c r="AP11" s="573"/>
      <c r="AQ11" s="556"/>
      <c r="AR11" s="573"/>
      <c r="AS11" s="556"/>
      <c r="AT11" s="573"/>
      <c r="AU11" s="556"/>
      <c r="AV11" s="573"/>
      <c r="AW11" s="556"/>
      <c r="AZ11" s="81">
        <v>4</v>
      </c>
      <c r="BA11" s="426" t="s">
        <v>489</v>
      </c>
      <c r="BB11" s="81" t="s">
        <v>575</v>
      </c>
      <c r="BC11" s="114" t="s">
        <v>82</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51"/>
      <c r="CV11" s="81"/>
      <c r="CW11" s="96"/>
      <c r="CX11" s="191"/>
      <c r="CY11" s="267"/>
    </row>
    <row r="12" spans="2:103" ht="18.75" customHeight="1">
      <c r="B12" s="219">
        <v>142</v>
      </c>
      <c r="C12" s="237">
        <v>5</v>
      </c>
      <c r="D12" s="362" t="s">
        <v>521</v>
      </c>
      <c r="E12" s="237" t="s">
        <v>300</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Z12" s="81">
        <v>5</v>
      </c>
      <c r="BA12" s="426" t="s">
        <v>522</v>
      </c>
      <c r="BB12" s="81" t="s">
        <v>575</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51"/>
      <c r="CV12" s="81"/>
      <c r="CW12" s="96"/>
      <c r="CX12" s="191"/>
      <c r="CY12" s="267"/>
    </row>
    <row r="13" spans="2:103" ht="33" customHeight="1">
      <c r="B13" s="219">
        <v>156</v>
      </c>
      <c r="C13" s="237">
        <v>6</v>
      </c>
      <c r="D13" s="632" t="s">
        <v>596</v>
      </c>
      <c r="E13" s="237" t="s">
        <v>300</v>
      </c>
      <c r="F13" s="573"/>
      <c r="G13" s="556"/>
      <c r="H13" s="573"/>
      <c r="I13" s="556"/>
      <c r="J13" s="573"/>
      <c r="K13" s="556"/>
      <c r="L13" s="573"/>
      <c r="M13" s="556"/>
      <c r="N13" s="573"/>
      <c r="O13" s="556"/>
      <c r="P13" s="573"/>
      <c r="Q13" s="556"/>
      <c r="R13" s="573"/>
      <c r="S13" s="556"/>
      <c r="T13" s="573"/>
      <c r="U13" s="556"/>
      <c r="V13" s="573"/>
      <c r="W13" s="556"/>
      <c r="X13" s="573"/>
      <c r="Y13" s="556"/>
      <c r="Z13" s="573"/>
      <c r="AA13" s="556"/>
      <c r="AB13" s="573"/>
      <c r="AC13" s="556"/>
      <c r="AD13" s="573"/>
      <c r="AE13" s="556"/>
      <c r="AF13" s="573"/>
      <c r="AG13" s="556"/>
      <c r="AH13" s="573"/>
      <c r="AI13" s="556"/>
      <c r="AJ13" s="573"/>
      <c r="AK13" s="556"/>
      <c r="AL13" s="573"/>
      <c r="AM13" s="556"/>
      <c r="AN13" s="573"/>
      <c r="AO13" s="556"/>
      <c r="AP13" s="573"/>
      <c r="AQ13" s="556"/>
      <c r="AR13" s="573"/>
      <c r="AS13" s="556"/>
      <c r="AT13" s="573"/>
      <c r="AU13" s="556"/>
      <c r="AV13" s="573"/>
      <c r="AW13" s="556"/>
      <c r="AZ13" s="81">
        <v>6</v>
      </c>
      <c r="BA13" s="426" t="s">
        <v>576</v>
      </c>
      <c r="BB13" s="81" t="s">
        <v>575</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51"/>
      <c r="CV13" s="81"/>
      <c r="CW13" s="96"/>
      <c r="CX13" s="191"/>
      <c r="CY13" s="267"/>
    </row>
    <row r="14" spans="2:103" ht="27" customHeight="1">
      <c r="B14" s="219">
        <v>144</v>
      </c>
      <c r="C14" s="237">
        <v>7</v>
      </c>
      <c r="D14" s="423" t="s">
        <v>518</v>
      </c>
      <c r="E14" s="237" t="s">
        <v>300</v>
      </c>
      <c r="F14" s="573"/>
      <c r="G14" s="556"/>
      <c r="H14" s="573"/>
      <c r="I14" s="556"/>
      <c r="J14" s="573"/>
      <c r="K14" s="556"/>
      <c r="L14" s="573"/>
      <c r="M14" s="556"/>
      <c r="N14" s="573"/>
      <c r="O14" s="556"/>
      <c r="P14" s="573"/>
      <c r="Q14" s="556"/>
      <c r="R14" s="573"/>
      <c r="S14" s="556"/>
      <c r="T14" s="573"/>
      <c r="U14" s="556"/>
      <c r="V14" s="573"/>
      <c r="W14" s="556"/>
      <c r="X14" s="573"/>
      <c r="Y14" s="556"/>
      <c r="Z14" s="573"/>
      <c r="AA14" s="556"/>
      <c r="AB14" s="573"/>
      <c r="AC14" s="556"/>
      <c r="AD14" s="573"/>
      <c r="AE14" s="556"/>
      <c r="AF14" s="573"/>
      <c r="AG14" s="556"/>
      <c r="AH14" s="573"/>
      <c r="AI14" s="556"/>
      <c r="AJ14" s="573"/>
      <c r="AK14" s="556"/>
      <c r="AL14" s="573"/>
      <c r="AM14" s="556"/>
      <c r="AN14" s="573"/>
      <c r="AO14" s="556"/>
      <c r="AP14" s="573"/>
      <c r="AQ14" s="556"/>
      <c r="AR14" s="573"/>
      <c r="AS14" s="556"/>
      <c r="AT14" s="573"/>
      <c r="AU14" s="556"/>
      <c r="AV14" s="573"/>
      <c r="AW14" s="556"/>
      <c r="AZ14" s="81">
        <v>7</v>
      </c>
      <c r="BA14" s="426" t="s">
        <v>518</v>
      </c>
      <c r="BB14" s="81" t="s">
        <v>575</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51"/>
      <c r="CV14" s="81"/>
      <c r="CW14" s="96"/>
      <c r="CX14" s="191"/>
      <c r="CY14" s="267"/>
    </row>
    <row r="15" spans="2:103" ht="18.75" customHeight="1">
      <c r="B15" s="219">
        <v>146</v>
      </c>
      <c r="C15" s="237">
        <v>8</v>
      </c>
      <c r="D15" s="423" t="s">
        <v>318</v>
      </c>
      <c r="E15" s="237" t="s">
        <v>300</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Z15" s="81">
        <v>8</v>
      </c>
      <c r="BA15" s="426" t="s">
        <v>318</v>
      </c>
      <c r="BB15" s="81" t="s">
        <v>575</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51"/>
      <c r="CV15" s="81"/>
      <c r="CW15" s="96"/>
      <c r="CX15" s="191"/>
      <c r="CY15" s="267"/>
    </row>
    <row r="16" spans="2:103" ht="18.75" customHeight="1">
      <c r="B16" s="219">
        <v>159</v>
      </c>
      <c r="C16" s="237">
        <v>9</v>
      </c>
      <c r="D16" s="423" t="s">
        <v>317</v>
      </c>
      <c r="E16" s="237" t="s">
        <v>300</v>
      </c>
      <c r="F16" s="573"/>
      <c r="G16" s="556"/>
      <c r="H16" s="573"/>
      <c r="I16" s="556"/>
      <c r="J16" s="573"/>
      <c r="K16" s="556"/>
      <c r="L16" s="573"/>
      <c r="M16" s="556"/>
      <c r="N16" s="573"/>
      <c r="O16" s="556"/>
      <c r="P16" s="573"/>
      <c r="Q16" s="556"/>
      <c r="R16" s="573"/>
      <c r="S16" s="556"/>
      <c r="T16" s="573"/>
      <c r="U16" s="556"/>
      <c r="V16" s="573"/>
      <c r="W16" s="556"/>
      <c r="X16" s="573"/>
      <c r="Y16" s="556"/>
      <c r="Z16" s="573"/>
      <c r="AA16" s="556"/>
      <c r="AB16" s="573"/>
      <c r="AC16" s="556"/>
      <c r="AD16" s="573"/>
      <c r="AE16" s="556"/>
      <c r="AF16" s="573"/>
      <c r="AG16" s="556"/>
      <c r="AH16" s="573"/>
      <c r="AI16" s="556"/>
      <c r="AJ16" s="573"/>
      <c r="AK16" s="556"/>
      <c r="AL16" s="573"/>
      <c r="AM16" s="556"/>
      <c r="AN16" s="573"/>
      <c r="AO16" s="556"/>
      <c r="AP16" s="573"/>
      <c r="AQ16" s="556"/>
      <c r="AR16" s="573"/>
      <c r="AS16" s="556"/>
      <c r="AT16" s="573"/>
      <c r="AU16" s="556"/>
      <c r="AV16" s="573"/>
      <c r="AW16" s="556"/>
      <c r="AZ16" s="81">
        <v>9</v>
      </c>
      <c r="BA16" s="426" t="s">
        <v>317</v>
      </c>
      <c r="BB16" s="81" t="s">
        <v>575</v>
      </c>
      <c r="BC16" s="114" t="s">
        <v>82</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51"/>
      <c r="CV16" s="113"/>
      <c r="CW16" s="96"/>
      <c r="CX16" s="191"/>
      <c r="CY16" s="267"/>
    </row>
    <row r="17" spans="2:103" ht="27" customHeight="1">
      <c r="B17" s="219">
        <v>89</v>
      </c>
      <c r="C17" s="237">
        <v>10</v>
      </c>
      <c r="D17" s="234" t="s">
        <v>121</v>
      </c>
      <c r="E17" s="237" t="s">
        <v>300</v>
      </c>
      <c r="F17" s="573"/>
      <c r="G17" s="556"/>
      <c r="H17" s="573"/>
      <c r="I17" s="556"/>
      <c r="J17" s="573"/>
      <c r="K17" s="556"/>
      <c r="L17" s="573"/>
      <c r="M17" s="556"/>
      <c r="N17" s="573"/>
      <c r="O17" s="556"/>
      <c r="P17" s="573"/>
      <c r="Q17" s="556"/>
      <c r="R17" s="573"/>
      <c r="S17" s="556"/>
      <c r="T17" s="573"/>
      <c r="U17" s="556"/>
      <c r="V17" s="573"/>
      <c r="W17" s="556"/>
      <c r="X17" s="573"/>
      <c r="Y17" s="556"/>
      <c r="Z17" s="573"/>
      <c r="AA17" s="556"/>
      <c r="AB17" s="573"/>
      <c r="AC17" s="556"/>
      <c r="AD17" s="573"/>
      <c r="AE17" s="556"/>
      <c r="AF17" s="573"/>
      <c r="AG17" s="556"/>
      <c r="AH17" s="573"/>
      <c r="AI17" s="556"/>
      <c r="AJ17" s="573">
        <v>6</v>
      </c>
      <c r="AK17" s="556" t="s">
        <v>649</v>
      </c>
      <c r="AL17" s="573">
        <v>6</v>
      </c>
      <c r="AM17" s="556" t="s">
        <v>649</v>
      </c>
      <c r="AN17" s="573">
        <v>13</v>
      </c>
      <c r="AO17" s="556" t="s">
        <v>649</v>
      </c>
      <c r="AP17" s="573">
        <v>13</v>
      </c>
      <c r="AQ17" s="556" t="s">
        <v>649</v>
      </c>
      <c r="AR17" s="573">
        <v>13</v>
      </c>
      <c r="AS17" s="556" t="s">
        <v>649</v>
      </c>
      <c r="AT17" s="573">
        <v>13</v>
      </c>
      <c r="AU17" s="556" t="s">
        <v>649</v>
      </c>
      <c r="AV17" s="573">
        <v>17</v>
      </c>
      <c r="AW17" s="556" t="s">
        <v>649</v>
      </c>
      <c r="AZ17" s="81">
        <v>10</v>
      </c>
      <c r="BA17" s="230" t="s">
        <v>121</v>
      </c>
      <c r="BB17" s="81" t="s">
        <v>575</v>
      </c>
      <c r="BC17" s="114" t="s">
        <v>82</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ok</v>
      </c>
      <c r="CJ17" s="113"/>
      <c r="CK17" s="96" t="str">
        <f t="shared" si="15"/>
        <v>&gt; 25%</v>
      </c>
      <c r="CL17" s="81"/>
      <c r="CM17" s="96" t="str">
        <f t="shared" si="16"/>
        <v>ok</v>
      </c>
      <c r="CN17" s="113"/>
      <c r="CO17" s="96" t="str">
        <f t="shared" si="17"/>
        <v>ok</v>
      </c>
      <c r="CP17" s="113"/>
      <c r="CQ17" s="96" t="str">
        <f t="shared" si="18"/>
        <v>ok</v>
      </c>
      <c r="CR17" s="113"/>
      <c r="CS17" s="96" t="str">
        <f t="shared" si="19"/>
        <v>&gt; 25%</v>
      </c>
      <c r="CT17" s="113"/>
      <c r="CU17" s="651"/>
      <c r="CV17" s="113"/>
      <c r="CW17" s="96"/>
      <c r="CX17" s="191"/>
      <c r="CY17" s="267"/>
    </row>
    <row r="18" spans="2:103" ht="27" customHeight="1">
      <c r="B18" s="219">
        <v>94</v>
      </c>
      <c r="C18" s="237">
        <v>11</v>
      </c>
      <c r="D18" s="463" t="s">
        <v>448</v>
      </c>
      <c r="E18" s="237" t="s">
        <v>300</v>
      </c>
      <c r="F18" s="573"/>
      <c r="G18" s="556"/>
      <c r="H18" s="573"/>
      <c r="I18" s="556"/>
      <c r="J18" s="573"/>
      <c r="K18" s="556"/>
      <c r="L18" s="573"/>
      <c r="M18" s="556"/>
      <c r="N18" s="573"/>
      <c r="O18" s="556"/>
      <c r="P18" s="573"/>
      <c r="Q18" s="556"/>
      <c r="R18" s="573"/>
      <c r="S18" s="556"/>
      <c r="T18" s="573"/>
      <c r="U18" s="556"/>
      <c r="V18" s="573"/>
      <c r="W18" s="556"/>
      <c r="X18" s="573"/>
      <c r="Y18" s="556"/>
      <c r="Z18" s="573"/>
      <c r="AA18" s="556"/>
      <c r="AB18" s="573"/>
      <c r="AC18" s="556"/>
      <c r="AD18" s="573"/>
      <c r="AE18" s="556"/>
      <c r="AF18" s="573"/>
      <c r="AG18" s="556"/>
      <c r="AH18" s="573"/>
      <c r="AI18" s="556"/>
      <c r="AJ18" s="573"/>
      <c r="AK18" s="556"/>
      <c r="AL18" s="573"/>
      <c r="AM18" s="556"/>
      <c r="AN18" s="573"/>
      <c r="AO18" s="556"/>
      <c r="AP18" s="573"/>
      <c r="AQ18" s="556"/>
      <c r="AR18" s="573"/>
      <c r="AS18" s="556"/>
      <c r="AT18" s="573"/>
      <c r="AU18" s="556"/>
      <c r="AV18" s="573"/>
      <c r="AW18" s="556"/>
      <c r="AZ18" s="81">
        <v>11</v>
      </c>
      <c r="BA18" s="426" t="s">
        <v>577</v>
      </c>
      <c r="BB18" s="81" t="s">
        <v>575</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51"/>
      <c r="CV18" s="113"/>
      <c r="CW18" s="96"/>
      <c r="CX18" s="191"/>
      <c r="CY18" s="267"/>
    </row>
    <row r="19" spans="2:103" ht="18.75" customHeight="1">
      <c r="B19" s="219">
        <v>98</v>
      </c>
      <c r="C19" s="237">
        <v>12</v>
      </c>
      <c r="D19" s="423" t="s">
        <v>89</v>
      </c>
      <c r="E19" s="237" t="s">
        <v>300</v>
      </c>
      <c r="F19" s="573"/>
      <c r="G19" s="556"/>
      <c r="H19" s="573"/>
      <c r="I19" s="556"/>
      <c r="J19" s="573"/>
      <c r="K19" s="556"/>
      <c r="L19" s="573"/>
      <c r="M19" s="556"/>
      <c r="N19" s="573"/>
      <c r="O19" s="556"/>
      <c r="P19" s="573"/>
      <c r="Q19" s="556"/>
      <c r="R19" s="573"/>
      <c r="S19" s="556"/>
      <c r="T19" s="573"/>
      <c r="U19" s="556"/>
      <c r="V19" s="573"/>
      <c r="W19" s="556"/>
      <c r="X19" s="573"/>
      <c r="Y19" s="556"/>
      <c r="Z19" s="573"/>
      <c r="AA19" s="556"/>
      <c r="AB19" s="573"/>
      <c r="AC19" s="556"/>
      <c r="AD19" s="573"/>
      <c r="AE19" s="556"/>
      <c r="AF19" s="573"/>
      <c r="AG19" s="556"/>
      <c r="AH19" s="573"/>
      <c r="AI19" s="556"/>
      <c r="AJ19" s="573"/>
      <c r="AK19" s="556"/>
      <c r="AL19" s="573"/>
      <c r="AM19" s="556"/>
      <c r="AN19" s="573"/>
      <c r="AO19" s="556"/>
      <c r="AP19" s="573"/>
      <c r="AQ19" s="556"/>
      <c r="AR19" s="573"/>
      <c r="AS19" s="556"/>
      <c r="AT19" s="573"/>
      <c r="AU19" s="556"/>
      <c r="AV19" s="573"/>
      <c r="AW19" s="556"/>
      <c r="AZ19" s="81">
        <v>12</v>
      </c>
      <c r="BA19" s="426" t="s">
        <v>89</v>
      </c>
      <c r="BB19" s="81" t="s">
        <v>575</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51"/>
      <c r="CV19" s="113"/>
      <c r="CW19" s="96"/>
      <c r="CX19" s="191"/>
      <c r="CY19" s="267"/>
    </row>
    <row r="20" spans="2:103" ht="18.75" customHeight="1">
      <c r="B20" s="219">
        <v>102</v>
      </c>
      <c r="C20" s="237">
        <v>13</v>
      </c>
      <c r="D20" s="423" t="s">
        <v>90</v>
      </c>
      <c r="E20" s="237" t="s">
        <v>300</v>
      </c>
      <c r="F20" s="573"/>
      <c r="G20" s="556"/>
      <c r="H20" s="573"/>
      <c r="I20" s="556"/>
      <c r="J20" s="573"/>
      <c r="K20" s="556"/>
      <c r="L20" s="573"/>
      <c r="M20" s="556"/>
      <c r="N20" s="573"/>
      <c r="O20" s="556"/>
      <c r="P20" s="573"/>
      <c r="Q20" s="556"/>
      <c r="R20" s="573"/>
      <c r="S20" s="556"/>
      <c r="T20" s="573"/>
      <c r="U20" s="556"/>
      <c r="V20" s="573"/>
      <c r="W20" s="556"/>
      <c r="X20" s="573"/>
      <c r="Y20" s="556"/>
      <c r="Z20" s="573"/>
      <c r="AA20" s="556"/>
      <c r="AB20" s="573"/>
      <c r="AC20" s="556"/>
      <c r="AD20" s="573"/>
      <c r="AE20" s="556"/>
      <c r="AF20" s="573"/>
      <c r="AG20" s="556"/>
      <c r="AH20" s="573"/>
      <c r="AI20" s="556"/>
      <c r="AJ20" s="573"/>
      <c r="AK20" s="556"/>
      <c r="AL20" s="573"/>
      <c r="AM20" s="556"/>
      <c r="AN20" s="573"/>
      <c r="AO20" s="556"/>
      <c r="AP20" s="573"/>
      <c r="AQ20" s="556"/>
      <c r="AR20" s="573"/>
      <c r="AS20" s="556"/>
      <c r="AT20" s="573"/>
      <c r="AU20" s="556"/>
      <c r="AV20" s="573"/>
      <c r="AW20" s="556"/>
      <c r="AZ20" s="81">
        <v>13</v>
      </c>
      <c r="BA20" s="426" t="s">
        <v>90</v>
      </c>
      <c r="BB20" s="81" t="s">
        <v>575</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51"/>
      <c r="CV20" s="113"/>
      <c r="CW20" s="96"/>
      <c r="CX20" s="191"/>
      <c r="CY20" s="267"/>
    </row>
    <row r="21" spans="2:103" ht="18.75" customHeight="1">
      <c r="B21" s="219">
        <v>109</v>
      </c>
      <c r="C21" s="237">
        <v>14</v>
      </c>
      <c r="D21" s="234" t="s">
        <v>91</v>
      </c>
      <c r="E21" s="237" t="s">
        <v>300</v>
      </c>
      <c r="F21" s="573"/>
      <c r="G21" s="556"/>
      <c r="H21" s="573"/>
      <c r="I21" s="556"/>
      <c r="J21" s="573"/>
      <c r="K21" s="556"/>
      <c r="L21" s="573"/>
      <c r="M21" s="556"/>
      <c r="N21" s="573"/>
      <c r="O21" s="556"/>
      <c r="P21" s="573"/>
      <c r="Q21" s="556"/>
      <c r="R21" s="573"/>
      <c r="S21" s="556"/>
      <c r="T21" s="573"/>
      <c r="U21" s="556"/>
      <c r="V21" s="573"/>
      <c r="W21" s="556"/>
      <c r="X21" s="573"/>
      <c r="Y21" s="556"/>
      <c r="Z21" s="573"/>
      <c r="AA21" s="556"/>
      <c r="AB21" s="573"/>
      <c r="AC21" s="556"/>
      <c r="AD21" s="573"/>
      <c r="AE21" s="556"/>
      <c r="AF21" s="573"/>
      <c r="AG21" s="556"/>
      <c r="AH21" s="573"/>
      <c r="AI21" s="556"/>
      <c r="AJ21" s="573"/>
      <c r="AK21" s="556"/>
      <c r="AL21" s="573"/>
      <c r="AM21" s="556"/>
      <c r="AN21" s="573"/>
      <c r="AO21" s="556"/>
      <c r="AP21" s="573"/>
      <c r="AQ21" s="556"/>
      <c r="AR21" s="573"/>
      <c r="AS21" s="556"/>
      <c r="AT21" s="573"/>
      <c r="AU21" s="556"/>
      <c r="AV21" s="573"/>
      <c r="AW21" s="556"/>
      <c r="AZ21" s="81">
        <v>14</v>
      </c>
      <c r="BA21" s="230" t="s">
        <v>91</v>
      </c>
      <c r="BB21" s="81" t="s">
        <v>575</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51"/>
      <c r="CV21" s="113"/>
      <c r="CW21" s="96"/>
      <c r="CX21" s="191"/>
      <c r="CY21" s="267"/>
    </row>
    <row r="22" spans="2:103" ht="27" customHeight="1">
      <c r="B22" s="219">
        <v>90</v>
      </c>
      <c r="C22" s="237">
        <v>15</v>
      </c>
      <c r="D22" s="463" t="s">
        <v>448</v>
      </c>
      <c r="E22" s="237" t="s">
        <v>300</v>
      </c>
      <c r="F22" s="573"/>
      <c r="G22" s="556"/>
      <c r="H22" s="573"/>
      <c r="I22" s="556"/>
      <c r="J22" s="573"/>
      <c r="K22" s="556"/>
      <c r="L22" s="573"/>
      <c r="M22" s="556"/>
      <c r="N22" s="573"/>
      <c r="O22" s="556"/>
      <c r="P22" s="573"/>
      <c r="Q22" s="556"/>
      <c r="R22" s="573"/>
      <c r="S22" s="556"/>
      <c r="T22" s="573"/>
      <c r="U22" s="556"/>
      <c r="V22" s="573"/>
      <c r="W22" s="556"/>
      <c r="X22" s="573"/>
      <c r="Y22" s="556"/>
      <c r="Z22" s="573"/>
      <c r="AA22" s="556"/>
      <c r="AB22" s="573"/>
      <c r="AC22" s="556"/>
      <c r="AD22" s="573"/>
      <c r="AE22" s="556"/>
      <c r="AF22" s="573"/>
      <c r="AG22" s="556"/>
      <c r="AH22" s="573"/>
      <c r="AI22" s="556"/>
      <c r="AJ22" s="573"/>
      <c r="AK22" s="556"/>
      <c r="AL22" s="573"/>
      <c r="AM22" s="556"/>
      <c r="AN22" s="573"/>
      <c r="AO22" s="556"/>
      <c r="AP22" s="573"/>
      <c r="AQ22" s="556"/>
      <c r="AR22" s="573"/>
      <c r="AS22" s="556"/>
      <c r="AT22" s="573"/>
      <c r="AU22" s="556"/>
      <c r="AV22" s="573"/>
      <c r="AW22" s="556"/>
      <c r="AZ22" s="81">
        <v>15</v>
      </c>
      <c r="BA22" s="426" t="s">
        <v>577</v>
      </c>
      <c r="BB22" s="81" t="s">
        <v>575</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51"/>
      <c r="CV22" s="113"/>
      <c r="CW22" s="96"/>
      <c r="CX22" s="191"/>
      <c r="CY22" s="267"/>
    </row>
    <row r="23" spans="2:103" ht="18.75" customHeight="1">
      <c r="B23" s="219">
        <v>91</v>
      </c>
      <c r="C23" s="237">
        <v>16</v>
      </c>
      <c r="D23" s="423" t="s">
        <v>89</v>
      </c>
      <c r="E23" s="237" t="s">
        <v>300</v>
      </c>
      <c r="F23" s="573"/>
      <c r="G23" s="556"/>
      <c r="H23" s="573"/>
      <c r="I23" s="556"/>
      <c r="J23" s="573"/>
      <c r="K23" s="556"/>
      <c r="L23" s="573"/>
      <c r="M23" s="556"/>
      <c r="N23" s="573"/>
      <c r="O23" s="556"/>
      <c r="P23" s="573"/>
      <c r="Q23" s="556"/>
      <c r="R23" s="573"/>
      <c r="S23" s="556"/>
      <c r="T23" s="573"/>
      <c r="U23" s="556"/>
      <c r="V23" s="573"/>
      <c r="W23" s="556"/>
      <c r="X23" s="573"/>
      <c r="Y23" s="556"/>
      <c r="Z23" s="573"/>
      <c r="AA23" s="556"/>
      <c r="AB23" s="573"/>
      <c r="AC23" s="556"/>
      <c r="AD23" s="573"/>
      <c r="AE23" s="556"/>
      <c r="AF23" s="573"/>
      <c r="AG23" s="556"/>
      <c r="AH23" s="573"/>
      <c r="AI23" s="556"/>
      <c r="AJ23" s="573"/>
      <c r="AK23" s="556"/>
      <c r="AL23" s="573"/>
      <c r="AM23" s="556"/>
      <c r="AN23" s="573"/>
      <c r="AO23" s="556"/>
      <c r="AP23" s="573"/>
      <c r="AQ23" s="556"/>
      <c r="AR23" s="573"/>
      <c r="AS23" s="556"/>
      <c r="AT23" s="573"/>
      <c r="AU23" s="556"/>
      <c r="AV23" s="573"/>
      <c r="AW23" s="556"/>
      <c r="AZ23" s="81">
        <v>16</v>
      </c>
      <c r="BA23" s="426" t="s">
        <v>89</v>
      </c>
      <c r="BB23" s="81" t="s">
        <v>575</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51"/>
      <c r="CV23" s="114"/>
      <c r="CW23" s="96"/>
      <c r="CX23" s="191"/>
      <c r="CY23" s="267"/>
    </row>
    <row r="24" spans="2:103" ht="18.75" customHeight="1">
      <c r="B24" s="219">
        <v>92</v>
      </c>
      <c r="C24" s="237">
        <v>17</v>
      </c>
      <c r="D24" s="423" t="s">
        <v>90</v>
      </c>
      <c r="E24" s="237" t="s">
        <v>300</v>
      </c>
      <c r="F24" s="573"/>
      <c r="G24" s="556"/>
      <c r="H24" s="573"/>
      <c r="I24" s="556"/>
      <c r="J24" s="573"/>
      <c r="K24" s="556"/>
      <c r="L24" s="573"/>
      <c r="M24" s="556"/>
      <c r="N24" s="573"/>
      <c r="O24" s="556"/>
      <c r="P24" s="573"/>
      <c r="Q24" s="556"/>
      <c r="R24" s="573"/>
      <c r="S24" s="556"/>
      <c r="T24" s="573"/>
      <c r="U24" s="556"/>
      <c r="V24" s="573"/>
      <c r="W24" s="556"/>
      <c r="X24" s="573"/>
      <c r="Y24" s="556"/>
      <c r="Z24" s="573"/>
      <c r="AA24" s="556"/>
      <c r="AB24" s="573"/>
      <c r="AC24" s="556"/>
      <c r="AD24" s="573"/>
      <c r="AE24" s="556"/>
      <c r="AF24" s="573"/>
      <c r="AG24" s="556"/>
      <c r="AH24" s="573"/>
      <c r="AI24" s="556"/>
      <c r="AJ24" s="573"/>
      <c r="AK24" s="556"/>
      <c r="AL24" s="573"/>
      <c r="AM24" s="556"/>
      <c r="AN24" s="573"/>
      <c r="AO24" s="556"/>
      <c r="AP24" s="573"/>
      <c r="AQ24" s="556"/>
      <c r="AR24" s="573"/>
      <c r="AS24" s="556"/>
      <c r="AT24" s="573"/>
      <c r="AU24" s="556"/>
      <c r="AV24" s="573"/>
      <c r="AW24" s="556"/>
      <c r="AZ24" s="81">
        <v>17</v>
      </c>
      <c r="BA24" s="426" t="s">
        <v>90</v>
      </c>
      <c r="BB24" s="81" t="s">
        <v>575</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51"/>
      <c r="CV24" s="114"/>
      <c r="CW24" s="96"/>
      <c r="CX24" s="191"/>
      <c r="CY24" s="267"/>
    </row>
    <row r="25" spans="2:103" ht="27" customHeight="1">
      <c r="B25" s="219">
        <v>105</v>
      </c>
      <c r="C25" s="237">
        <v>18</v>
      </c>
      <c r="D25" s="245" t="s">
        <v>92</v>
      </c>
      <c r="E25" s="237" t="s">
        <v>300</v>
      </c>
      <c r="F25" s="573"/>
      <c r="G25" s="556"/>
      <c r="H25" s="573"/>
      <c r="I25" s="556"/>
      <c r="J25" s="573"/>
      <c r="K25" s="556"/>
      <c r="L25" s="573"/>
      <c r="M25" s="556"/>
      <c r="N25" s="573"/>
      <c r="O25" s="556"/>
      <c r="P25" s="573"/>
      <c r="Q25" s="556"/>
      <c r="R25" s="573"/>
      <c r="S25" s="556"/>
      <c r="T25" s="573"/>
      <c r="U25" s="556"/>
      <c r="V25" s="573"/>
      <c r="W25" s="556"/>
      <c r="X25" s="573"/>
      <c r="Y25" s="556"/>
      <c r="Z25" s="573"/>
      <c r="AA25" s="556"/>
      <c r="AB25" s="573"/>
      <c r="AC25" s="556"/>
      <c r="AD25" s="573"/>
      <c r="AE25" s="556"/>
      <c r="AF25" s="573"/>
      <c r="AG25" s="556"/>
      <c r="AH25" s="573"/>
      <c r="AI25" s="556"/>
      <c r="AJ25" s="573">
        <v>0</v>
      </c>
      <c r="AK25" s="556" t="s">
        <v>649</v>
      </c>
      <c r="AL25" s="573">
        <v>0</v>
      </c>
      <c r="AM25" s="556" t="s">
        <v>649</v>
      </c>
      <c r="AN25" s="573">
        <v>0</v>
      </c>
      <c r="AO25" s="556" t="s">
        <v>649</v>
      </c>
      <c r="AP25" s="573">
        <v>0</v>
      </c>
      <c r="AQ25" s="556" t="s">
        <v>649</v>
      </c>
      <c r="AR25" s="573">
        <v>0</v>
      </c>
      <c r="AS25" s="556" t="s">
        <v>649</v>
      </c>
      <c r="AT25" s="573">
        <v>0</v>
      </c>
      <c r="AU25" s="556" t="s">
        <v>649</v>
      </c>
      <c r="AV25" s="573">
        <v>15</v>
      </c>
      <c r="AW25" s="556" t="s">
        <v>649</v>
      </c>
      <c r="AZ25" s="81">
        <v>18</v>
      </c>
      <c r="BA25" s="246" t="s">
        <v>92</v>
      </c>
      <c r="BB25" s="81" t="s">
        <v>575</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e">
        <f t="shared" si="14"/>
        <v>#DIV/0!</v>
      </c>
      <c r="CJ25" s="114"/>
      <c r="CK25" s="96" t="e">
        <f t="shared" si="15"/>
        <v>#DIV/0!</v>
      </c>
      <c r="CL25" s="114"/>
      <c r="CM25" s="96" t="e">
        <f t="shared" si="16"/>
        <v>#DIV/0!</v>
      </c>
      <c r="CN25" s="114"/>
      <c r="CO25" s="96" t="e">
        <f t="shared" si="17"/>
        <v>#DIV/0!</v>
      </c>
      <c r="CP25" s="114"/>
      <c r="CQ25" s="96" t="e">
        <f t="shared" si="18"/>
        <v>#DIV/0!</v>
      </c>
      <c r="CR25" s="114"/>
      <c r="CS25" s="96" t="e">
        <f t="shared" si="19"/>
        <v>#DIV/0!</v>
      </c>
      <c r="CT25" s="114"/>
      <c r="CU25" s="651"/>
      <c r="CV25" s="114"/>
      <c r="CW25" s="96"/>
      <c r="CX25" s="191"/>
      <c r="CY25" s="267"/>
    </row>
    <row r="26" spans="1:103" ht="18.75" customHeight="1">
      <c r="A26" s="194"/>
      <c r="B26" s="219">
        <v>2414</v>
      </c>
      <c r="C26" s="464">
        <v>19</v>
      </c>
      <c r="D26" s="465" t="s">
        <v>125</v>
      </c>
      <c r="E26" s="237" t="s">
        <v>300</v>
      </c>
      <c r="F26" s="575"/>
      <c r="G26" s="557"/>
      <c r="H26" s="575"/>
      <c r="I26" s="557"/>
      <c r="J26" s="575"/>
      <c r="K26" s="557"/>
      <c r="L26" s="575"/>
      <c r="M26" s="557"/>
      <c r="N26" s="575"/>
      <c r="O26" s="557"/>
      <c r="P26" s="575"/>
      <c r="Q26" s="557"/>
      <c r="R26" s="575"/>
      <c r="S26" s="557"/>
      <c r="T26" s="575"/>
      <c r="U26" s="557"/>
      <c r="V26" s="575"/>
      <c r="W26" s="557"/>
      <c r="X26" s="575"/>
      <c r="Y26" s="557"/>
      <c r="Z26" s="575"/>
      <c r="AA26" s="557"/>
      <c r="AB26" s="575"/>
      <c r="AC26" s="557"/>
      <c r="AD26" s="575"/>
      <c r="AE26" s="557"/>
      <c r="AF26" s="575"/>
      <c r="AG26" s="557"/>
      <c r="AH26" s="575"/>
      <c r="AI26" s="557"/>
      <c r="AJ26" s="575">
        <v>92.4</v>
      </c>
      <c r="AK26" s="557" t="s">
        <v>649</v>
      </c>
      <c r="AL26" s="575">
        <v>92.4</v>
      </c>
      <c r="AM26" s="557" t="s">
        <v>649</v>
      </c>
      <c r="AN26" s="575">
        <v>85.4</v>
      </c>
      <c r="AO26" s="557" t="s">
        <v>649</v>
      </c>
      <c r="AP26" s="575">
        <v>85.4</v>
      </c>
      <c r="AQ26" s="557" t="s">
        <v>649</v>
      </c>
      <c r="AR26" s="575">
        <v>85.4</v>
      </c>
      <c r="AS26" s="557" t="s">
        <v>649</v>
      </c>
      <c r="AT26" s="575">
        <v>85.4</v>
      </c>
      <c r="AU26" s="557" t="s">
        <v>649</v>
      </c>
      <c r="AV26" s="575">
        <v>66.4</v>
      </c>
      <c r="AW26" s="557" t="s">
        <v>649</v>
      </c>
      <c r="AX26" s="360"/>
      <c r="AY26" s="197"/>
      <c r="AZ26" s="242">
        <v>19</v>
      </c>
      <c r="BA26" s="466" t="s">
        <v>125</v>
      </c>
      <c r="BB26" s="81" t="s">
        <v>575</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ok</v>
      </c>
      <c r="CJ26" s="81"/>
      <c r="CK26" s="96" t="str">
        <f t="shared" si="15"/>
        <v>ok</v>
      </c>
      <c r="CL26" s="114"/>
      <c r="CM26" s="96" t="str">
        <f t="shared" si="16"/>
        <v>ok</v>
      </c>
      <c r="CN26" s="81"/>
      <c r="CO26" s="96" t="str">
        <f t="shared" si="17"/>
        <v>ok</v>
      </c>
      <c r="CP26" s="81"/>
      <c r="CQ26" s="96" t="str">
        <f t="shared" si="18"/>
        <v>ok</v>
      </c>
      <c r="CR26" s="81"/>
      <c r="CS26" s="96" t="str">
        <f t="shared" si="19"/>
        <v>ok</v>
      </c>
      <c r="CT26" s="81"/>
      <c r="CU26" s="651"/>
      <c r="CV26" s="81"/>
      <c r="CW26" s="96"/>
      <c r="CX26" s="191"/>
      <c r="CY26" s="267"/>
    </row>
    <row r="27" spans="2:103" ht="18.75" customHeight="1">
      <c r="B27" s="467">
        <v>160</v>
      </c>
      <c r="C27" s="369">
        <v>20</v>
      </c>
      <c r="D27" s="468" t="s">
        <v>33</v>
      </c>
      <c r="E27" s="369" t="s">
        <v>301</v>
      </c>
      <c r="F27" s="576"/>
      <c r="G27" s="558"/>
      <c r="H27" s="576"/>
      <c r="I27" s="558"/>
      <c r="J27" s="576"/>
      <c r="K27" s="558"/>
      <c r="L27" s="576"/>
      <c r="M27" s="558"/>
      <c r="N27" s="576"/>
      <c r="O27" s="558"/>
      <c r="P27" s="576"/>
      <c r="Q27" s="558"/>
      <c r="R27" s="576"/>
      <c r="S27" s="558"/>
      <c r="T27" s="576"/>
      <c r="U27" s="558"/>
      <c r="V27" s="576"/>
      <c r="W27" s="558"/>
      <c r="X27" s="576"/>
      <c r="Y27" s="558"/>
      <c r="Z27" s="576"/>
      <c r="AA27" s="558"/>
      <c r="AB27" s="576"/>
      <c r="AC27" s="558"/>
      <c r="AD27" s="576"/>
      <c r="AE27" s="558"/>
      <c r="AF27" s="576"/>
      <c r="AG27" s="558"/>
      <c r="AH27" s="576"/>
      <c r="AI27" s="558"/>
      <c r="AJ27" s="576"/>
      <c r="AK27" s="558"/>
      <c r="AL27" s="576"/>
      <c r="AM27" s="558"/>
      <c r="AN27" s="576"/>
      <c r="AO27" s="558"/>
      <c r="AP27" s="576"/>
      <c r="AQ27" s="558"/>
      <c r="AR27" s="576"/>
      <c r="AS27" s="558"/>
      <c r="AT27" s="576"/>
      <c r="AU27" s="558"/>
      <c r="AV27" s="576"/>
      <c r="AW27" s="558"/>
      <c r="AZ27" s="94">
        <v>20</v>
      </c>
      <c r="BA27" s="469" t="s">
        <v>33</v>
      </c>
      <c r="BB27" s="94" t="s">
        <v>301</v>
      </c>
      <c r="BC27" s="94" t="s">
        <v>82</v>
      </c>
      <c r="BD27" s="470"/>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52"/>
      <c r="CV27" s="94"/>
      <c r="CW27" s="96"/>
      <c r="CX27" s="191"/>
      <c r="CY27" s="267"/>
    </row>
    <row r="28" spans="3:103" ht="4.5" customHeight="1">
      <c r="C28" s="471"/>
      <c r="D28" s="190"/>
      <c r="E28" s="472"/>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3"/>
      <c r="BA28" s="95"/>
      <c r="BB28" s="474"/>
      <c r="BC28" s="475"/>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X28" s="191"/>
      <c r="CY28" s="267"/>
    </row>
    <row r="29" spans="1:103" s="360" customFormat="1" ht="12" customHeight="1">
      <c r="A29" s="162"/>
      <c r="B29" s="163"/>
      <c r="C29" s="336" t="s">
        <v>305</v>
      </c>
      <c r="D29" s="252"/>
      <c r="E29" s="434"/>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191"/>
      <c r="CY29" s="476"/>
    </row>
    <row r="30" spans="3:103" ht="18" customHeight="1">
      <c r="C30" s="260" t="s">
        <v>142</v>
      </c>
      <c r="D30" s="798" t="s">
        <v>254</v>
      </c>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c r="AK30" s="798"/>
      <c r="AL30" s="798"/>
      <c r="AM30" s="798"/>
      <c r="AN30" s="798"/>
      <c r="AO30" s="798"/>
      <c r="AP30" s="798"/>
      <c r="AQ30" s="798"/>
      <c r="AR30" s="798"/>
      <c r="AS30" s="798"/>
      <c r="AT30" s="798"/>
      <c r="AU30" s="798"/>
      <c r="AV30" s="798"/>
      <c r="AW30" s="798"/>
      <c r="AX30" s="798"/>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794" t="s">
        <v>143</v>
      </c>
      <c r="E31" s="794"/>
      <c r="F31" s="794"/>
      <c r="G31" s="794"/>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4"/>
      <c r="AF31" s="794"/>
      <c r="AG31" s="794"/>
      <c r="AH31" s="794"/>
      <c r="AI31" s="794"/>
      <c r="AJ31" s="794"/>
      <c r="AK31" s="794"/>
      <c r="AL31" s="794"/>
      <c r="AM31" s="794"/>
      <c r="AN31" s="794"/>
      <c r="AO31" s="794"/>
      <c r="AP31" s="794"/>
      <c r="AQ31" s="794"/>
      <c r="AR31" s="794"/>
      <c r="AS31" s="794"/>
      <c r="AT31" s="794"/>
      <c r="AU31" s="794"/>
      <c r="AV31" s="794"/>
      <c r="AW31" s="794"/>
      <c r="AX31" s="794"/>
      <c r="AY31" s="373"/>
      <c r="AZ31" s="358">
        <v>1</v>
      </c>
      <c r="BA31" s="460" t="s">
        <v>88</v>
      </c>
      <c r="BB31" s="81" t="s">
        <v>300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98.4</v>
      </c>
      <c r="CH31" s="114"/>
      <c r="CI31" s="114">
        <f>AL8</f>
        <v>98.4</v>
      </c>
      <c r="CJ31" s="114"/>
      <c r="CK31" s="114">
        <f>AN8</f>
        <v>98.4</v>
      </c>
      <c r="CL31" s="114"/>
      <c r="CM31" s="114">
        <f>AP8</f>
        <v>98.4</v>
      </c>
      <c r="CN31" s="114"/>
      <c r="CO31" s="114">
        <f>AR8</f>
        <v>98.4</v>
      </c>
      <c r="CP31" s="114"/>
      <c r="CQ31" s="114">
        <f>AT8</f>
        <v>98.4</v>
      </c>
      <c r="CR31" s="114"/>
      <c r="CS31" s="114">
        <f>AV8</f>
        <v>98.4</v>
      </c>
      <c r="CT31" s="114"/>
      <c r="CU31" s="114"/>
      <c r="CV31" s="114"/>
      <c r="CW31" s="114"/>
      <c r="CX31" s="267"/>
      <c r="CY31" s="267"/>
    </row>
    <row r="32" spans="1:103" ht="34.5" customHeight="1">
      <c r="A32" s="262"/>
      <c r="B32" s="262"/>
      <c r="C32" s="260" t="s">
        <v>142</v>
      </c>
      <c r="D32" s="798" t="s">
        <v>110</v>
      </c>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98"/>
      <c r="AR32" s="798"/>
      <c r="AS32" s="798"/>
      <c r="AT32" s="798"/>
      <c r="AU32" s="798"/>
      <c r="AV32" s="798"/>
      <c r="AW32" s="798"/>
      <c r="AX32" s="798"/>
      <c r="AY32" s="373"/>
      <c r="AZ32" s="281">
        <v>21</v>
      </c>
      <c r="BA32" s="266" t="s">
        <v>578</v>
      </c>
      <c r="BB32" s="81" t="s">
        <v>300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813"/>
      <c r="AC33" s="813"/>
      <c r="AD33" s="813"/>
      <c r="AE33" s="813"/>
      <c r="AF33" s="813"/>
      <c r="AG33" s="813"/>
      <c r="AH33" s="813"/>
      <c r="AI33" s="813"/>
      <c r="AJ33" s="813"/>
      <c r="AK33" s="813"/>
      <c r="AL33" s="813"/>
      <c r="AM33" s="813"/>
      <c r="AN33" s="813"/>
      <c r="AO33" s="813"/>
      <c r="AP33" s="813"/>
      <c r="AQ33" s="813"/>
      <c r="AR33" s="813"/>
      <c r="AS33" s="813"/>
      <c r="AT33" s="813"/>
      <c r="AU33" s="813"/>
      <c r="AV33" s="813"/>
      <c r="AW33" s="813"/>
      <c r="AX33" s="813"/>
      <c r="AY33" s="373"/>
      <c r="AZ33" s="269" t="s">
        <v>176</v>
      </c>
      <c r="BA33" s="266" t="s">
        <v>579</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7" t="str">
        <f>D9&amp;" (W4,2)"</f>
        <v>by:
     Agriculture, forestry and fishing ISIC (01-03) (W4,2)</v>
      </c>
      <c r="E34" s="263"/>
      <c r="F34" s="263"/>
      <c r="G34" s="263"/>
      <c r="H34" s="263"/>
      <c r="I34" s="263"/>
      <c r="J34" s="263"/>
      <c r="K34" s="263"/>
      <c r="L34" s="263"/>
      <c r="M34" s="263"/>
      <c r="N34" s="263"/>
      <c r="O34" s="263"/>
      <c r="P34" s="263"/>
      <c r="Q34" s="263"/>
      <c r="R34" s="263"/>
      <c r="S34" s="263"/>
      <c r="T34" s="263"/>
      <c r="U34" s="880" t="str">
        <f>D17&amp;" (W4,10)"</f>
        <v>Wastewater treated in urban wastewater treatment plants (W4,10)</v>
      </c>
      <c r="V34" s="881"/>
      <c r="W34" s="881"/>
      <c r="X34" s="881"/>
      <c r="Y34" s="881"/>
      <c r="Z34" s="881"/>
      <c r="AA34" s="881"/>
      <c r="AB34" s="882"/>
      <c r="AC34" s="263"/>
      <c r="AD34" s="263"/>
      <c r="AE34" s="263"/>
      <c r="AF34" s="263"/>
      <c r="AG34" s="263"/>
      <c r="AH34" s="263"/>
      <c r="AI34" s="271"/>
      <c r="AJ34" s="478"/>
      <c r="AK34" s="478"/>
      <c r="AL34" s="478"/>
      <c r="AM34" s="799"/>
      <c r="AN34" s="799"/>
      <c r="AO34" s="799"/>
      <c r="AP34" s="799"/>
      <c r="AQ34" s="799"/>
      <c r="AR34" s="799"/>
      <c r="AS34" s="799"/>
      <c r="AT34" s="799"/>
      <c r="AU34" s="263"/>
      <c r="AV34" s="263"/>
      <c r="AW34" s="263"/>
      <c r="AX34" s="263"/>
      <c r="AY34" s="373"/>
      <c r="AZ34" s="281">
        <v>22</v>
      </c>
      <c r="BA34" s="266" t="s">
        <v>580</v>
      </c>
      <c r="BB34" s="81" t="s">
        <v>300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98.4</v>
      </c>
      <c r="CH34" s="114"/>
      <c r="CI34" s="114">
        <f>AL17+AL21+AL25+AL26</f>
        <v>98.4</v>
      </c>
      <c r="CJ34" s="114"/>
      <c r="CK34" s="114">
        <f>AN17+AN21+AN25+AN26</f>
        <v>98.4</v>
      </c>
      <c r="CL34" s="114"/>
      <c r="CM34" s="114">
        <f>AP17+AP21+AP25+AP26</f>
        <v>98.4</v>
      </c>
      <c r="CN34" s="114"/>
      <c r="CO34" s="114">
        <f>AR17+AR21+AR25+AR26</f>
        <v>98.4</v>
      </c>
      <c r="CP34" s="114"/>
      <c r="CQ34" s="114">
        <f>AT17+AT21+AT25+AT26</f>
        <v>98.4</v>
      </c>
      <c r="CR34" s="114"/>
      <c r="CS34" s="114">
        <f>AV17+AV21+AV25+AV26</f>
        <v>98.4</v>
      </c>
      <c r="CT34" s="114"/>
      <c r="CU34" s="114"/>
      <c r="CV34" s="114"/>
      <c r="CW34" s="114"/>
      <c r="CX34" s="267"/>
      <c r="CY34" s="267"/>
      <c r="CZ34" s="267"/>
      <c r="DA34" s="267"/>
      <c r="DB34" s="267"/>
      <c r="DC34" s="267"/>
      <c r="DD34" s="267"/>
      <c r="DE34" s="267"/>
    </row>
    <row r="35" spans="1:109" ht="9.75" customHeight="1">
      <c r="A35" s="262"/>
      <c r="B35" s="262"/>
      <c r="C35" s="260"/>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263"/>
      <c r="AE35" s="263"/>
      <c r="AF35" s="263"/>
      <c r="AG35" s="263"/>
      <c r="AH35" s="263"/>
      <c r="AI35" s="271"/>
      <c r="AJ35" s="478"/>
      <c r="AK35" s="478"/>
      <c r="AL35" s="478"/>
      <c r="AM35" s="271"/>
      <c r="AN35" s="271"/>
      <c r="AO35" s="271"/>
      <c r="AP35" s="271"/>
      <c r="AQ35" s="271"/>
      <c r="AR35" s="271"/>
      <c r="AS35" s="271"/>
      <c r="AT35" s="271"/>
      <c r="AU35" s="263"/>
      <c r="AV35" s="263"/>
      <c r="AW35" s="263"/>
      <c r="AX35" s="263"/>
      <c r="AY35" s="373"/>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7" t="str">
        <f>D10&amp;" (W4,3)"</f>
        <v>     Mining and quarrying (ISIC 05-09) (W4,3)</v>
      </c>
      <c r="E36" s="478"/>
      <c r="F36" s="478"/>
      <c r="G36" s="478"/>
      <c r="H36" s="478"/>
      <c r="I36" s="478"/>
      <c r="J36" s="478"/>
      <c r="K36" s="478"/>
      <c r="L36" s="478"/>
      <c r="M36" s="478"/>
      <c r="N36" s="478"/>
      <c r="O36" s="478"/>
      <c r="P36" s="478"/>
      <c r="Q36" s="478"/>
      <c r="R36" s="478"/>
      <c r="S36" s="478"/>
      <c r="T36" s="478"/>
      <c r="U36" s="175"/>
      <c r="V36" s="175"/>
      <c r="W36" s="175"/>
      <c r="X36" s="175"/>
      <c r="Y36" s="175"/>
      <c r="Z36" s="175"/>
      <c r="AA36" s="175"/>
      <c r="AB36" s="175"/>
      <c r="AC36" s="478"/>
      <c r="AD36" s="263"/>
      <c r="AE36" s="263"/>
      <c r="AF36" s="263"/>
      <c r="AG36" s="263"/>
      <c r="AH36" s="263"/>
      <c r="AI36" s="271"/>
      <c r="AJ36" s="478"/>
      <c r="AK36" s="478"/>
      <c r="AL36" s="478"/>
      <c r="AM36" s="271"/>
      <c r="AN36" s="271"/>
      <c r="AO36" s="271"/>
      <c r="AP36" s="271"/>
      <c r="AQ36" s="271"/>
      <c r="AR36" s="271"/>
      <c r="AS36" s="271"/>
      <c r="AT36" s="271"/>
      <c r="AU36" s="263"/>
      <c r="AV36" s="263"/>
      <c r="AW36" s="263"/>
      <c r="AX36" s="263"/>
      <c r="AY36" s="373"/>
      <c r="AZ36" s="269" t="s">
        <v>176</v>
      </c>
      <c r="BA36" s="266" t="s">
        <v>581</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9"/>
      <c r="E37" s="263"/>
      <c r="F37" s="263"/>
      <c r="G37" s="263"/>
      <c r="H37" s="263"/>
      <c r="I37" s="263"/>
      <c r="J37" s="263"/>
      <c r="K37" s="263"/>
      <c r="L37" s="263"/>
      <c r="M37" s="263"/>
      <c r="N37" s="263"/>
      <c r="O37" s="263"/>
      <c r="P37" s="263"/>
      <c r="Q37" s="263"/>
      <c r="R37" s="263"/>
      <c r="S37" s="263"/>
      <c r="T37" s="263"/>
      <c r="U37" s="263"/>
      <c r="V37" s="263"/>
      <c r="W37" s="263"/>
      <c r="X37" s="263"/>
      <c r="Y37" s="480"/>
      <c r="Z37" s="263"/>
      <c r="AA37" s="263"/>
      <c r="AB37" s="263"/>
      <c r="AC37" s="263"/>
      <c r="AD37" s="263"/>
      <c r="AE37" s="263"/>
      <c r="AF37" s="263"/>
      <c r="AG37" s="263"/>
      <c r="AH37" s="263"/>
      <c r="AI37" s="480"/>
      <c r="AJ37" s="480"/>
      <c r="AK37" s="480"/>
      <c r="AL37" s="480"/>
      <c r="AM37" s="481"/>
      <c r="AN37" s="481"/>
      <c r="AO37" s="481"/>
      <c r="AP37" s="481"/>
      <c r="AQ37" s="481"/>
      <c r="AR37" s="481"/>
      <c r="AS37" s="481"/>
      <c r="AT37" s="481"/>
      <c r="AU37" s="263"/>
      <c r="AV37" s="479"/>
      <c r="AW37" s="479"/>
      <c r="AX37" s="263"/>
      <c r="AY37" s="373"/>
      <c r="AZ37" s="482"/>
      <c r="BA37" s="483"/>
      <c r="BB37" s="48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7" t="str">
        <f>D11&amp;" (W4,4)"</f>
        <v>    Manufacturing (ISIC 10-33) (W4,4)</v>
      </c>
      <c r="E38" s="263"/>
      <c r="F38" s="263"/>
      <c r="G38" s="263"/>
      <c r="H38" s="263"/>
      <c r="I38" s="263"/>
      <c r="J38" s="876" t="str">
        <f>D8&amp;" (W4,1)"</f>
        <v>Total wastewater generated (W4,1)</v>
      </c>
      <c r="K38" s="870"/>
      <c r="L38" s="870"/>
      <c r="M38" s="870"/>
      <c r="N38" s="871"/>
      <c r="O38" s="263"/>
      <c r="P38" s="263"/>
      <c r="Q38" s="263"/>
      <c r="R38" s="263"/>
      <c r="S38" s="263"/>
      <c r="T38" s="263"/>
      <c r="U38" s="880" t="str">
        <f>D21&amp;" (W4,14)"</f>
        <v>Wastewater treated in other treatment plants (W4,14)</v>
      </c>
      <c r="V38" s="881"/>
      <c r="W38" s="881"/>
      <c r="X38" s="881"/>
      <c r="Y38" s="881"/>
      <c r="Z38" s="881"/>
      <c r="AA38" s="881"/>
      <c r="AB38" s="882"/>
      <c r="AC38" s="597"/>
      <c r="AD38" s="597"/>
      <c r="AE38" s="597"/>
      <c r="AF38" s="597"/>
      <c r="AG38" s="597"/>
      <c r="AH38" s="263"/>
      <c r="AI38" s="481"/>
      <c r="AJ38" s="481"/>
      <c r="AK38" s="481"/>
      <c r="AL38" s="481"/>
      <c r="AM38" s="799"/>
      <c r="AN38" s="799"/>
      <c r="AO38" s="799"/>
      <c r="AP38" s="799"/>
      <c r="AQ38" s="799"/>
      <c r="AR38" s="799"/>
      <c r="AS38" s="799"/>
      <c r="AT38" s="799"/>
      <c r="AU38" s="263"/>
      <c r="AV38" s="263"/>
      <c r="AW38" s="263"/>
      <c r="AX38" s="263"/>
      <c r="AY38" s="373"/>
      <c r="AZ38" s="81">
        <v>14</v>
      </c>
      <c r="BA38" s="230" t="s">
        <v>121</v>
      </c>
      <c r="BB38" s="81" t="s">
        <v>300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6</v>
      </c>
      <c r="CH38" s="114"/>
      <c r="CI38" s="114">
        <f>AL17</f>
        <v>6</v>
      </c>
      <c r="CJ38" s="114"/>
      <c r="CK38" s="114">
        <f>AN17</f>
        <v>13</v>
      </c>
      <c r="CL38" s="114"/>
      <c r="CM38" s="114">
        <f>AP17</f>
        <v>13</v>
      </c>
      <c r="CN38" s="114"/>
      <c r="CO38" s="114">
        <f>AR17</f>
        <v>13</v>
      </c>
      <c r="CP38" s="114"/>
      <c r="CQ38" s="114">
        <f>AT17</f>
        <v>13</v>
      </c>
      <c r="CR38" s="114"/>
      <c r="CS38" s="114">
        <f>AV17</f>
        <v>17</v>
      </c>
      <c r="CT38" s="114"/>
      <c r="CU38" s="114"/>
      <c r="CV38" s="114"/>
      <c r="CW38" s="114"/>
      <c r="CX38" s="267"/>
      <c r="CY38" s="267"/>
      <c r="CZ38" s="267"/>
      <c r="DA38" s="267"/>
      <c r="DB38" s="267"/>
      <c r="DC38" s="267"/>
      <c r="DD38" s="267"/>
      <c r="DE38" s="267"/>
    </row>
    <row r="39" spans="1:109" ht="9" customHeight="1">
      <c r="A39" s="262"/>
      <c r="B39" s="262"/>
      <c r="C39" s="260"/>
      <c r="D39" s="479"/>
      <c r="E39" s="263"/>
      <c r="F39" s="263"/>
      <c r="G39" s="263"/>
      <c r="H39" s="263"/>
      <c r="I39" s="263"/>
      <c r="J39" s="877"/>
      <c r="K39" s="878"/>
      <c r="L39" s="878"/>
      <c r="M39" s="878"/>
      <c r="N39" s="879"/>
      <c r="O39" s="263"/>
      <c r="P39" s="263"/>
      <c r="Q39" s="263"/>
      <c r="R39" s="263"/>
      <c r="S39" s="263"/>
      <c r="T39" s="263"/>
      <c r="U39" s="263"/>
      <c r="V39" s="263"/>
      <c r="W39" s="263"/>
      <c r="X39" s="480"/>
      <c r="Y39" s="481"/>
      <c r="Z39" s="597"/>
      <c r="AA39" s="597"/>
      <c r="AB39" s="597"/>
      <c r="AC39" s="597"/>
      <c r="AD39" s="597"/>
      <c r="AE39" s="597"/>
      <c r="AF39" s="597"/>
      <c r="AG39" s="597"/>
      <c r="AH39" s="263"/>
      <c r="AI39" s="480"/>
      <c r="AJ39" s="480"/>
      <c r="AK39" s="480"/>
      <c r="AL39" s="480"/>
      <c r="AM39" s="481"/>
      <c r="AN39" s="481"/>
      <c r="AO39" s="481"/>
      <c r="AP39" s="481"/>
      <c r="AQ39" s="481"/>
      <c r="AR39" s="481"/>
      <c r="AS39" s="481"/>
      <c r="AT39" s="481"/>
      <c r="AU39" s="263"/>
      <c r="AV39" s="479"/>
      <c r="AW39" s="479"/>
      <c r="AX39" s="263"/>
      <c r="AY39" s="373"/>
      <c r="AZ39" s="486"/>
      <c r="BA39" s="484"/>
      <c r="BB39" s="48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7" t="str">
        <f>D12&amp;" (W4,5)"</f>
        <v>    Electricity, gas, steam and air conditioning supply  (ISIC 35) (W4,5)</v>
      </c>
      <c r="E40" s="263"/>
      <c r="F40" s="263"/>
      <c r="G40" s="263"/>
      <c r="H40" s="263"/>
      <c r="I40" s="263"/>
      <c r="J40" s="877"/>
      <c r="K40" s="878"/>
      <c r="L40" s="878"/>
      <c r="M40" s="878"/>
      <c r="N40" s="879"/>
      <c r="O40" s="263"/>
      <c r="P40" s="263"/>
      <c r="Q40" s="263"/>
      <c r="R40" s="263"/>
      <c r="S40" s="263"/>
      <c r="T40" s="263"/>
      <c r="U40" s="175"/>
      <c r="V40" s="175"/>
      <c r="W40" s="175"/>
      <c r="X40" s="175"/>
      <c r="Y40" s="175"/>
      <c r="Z40" s="175"/>
      <c r="AA40" s="175"/>
      <c r="AB40" s="175"/>
      <c r="AC40" s="597"/>
      <c r="AD40" s="597"/>
      <c r="AE40" s="597"/>
      <c r="AF40" s="597"/>
      <c r="AG40" s="597"/>
      <c r="AH40" s="263"/>
      <c r="AI40" s="276"/>
      <c r="AJ40" s="393"/>
      <c r="AK40" s="393"/>
      <c r="AL40" s="393"/>
      <c r="AM40" s="799"/>
      <c r="AN40" s="799"/>
      <c r="AO40" s="799"/>
      <c r="AP40" s="799"/>
      <c r="AQ40" s="799"/>
      <c r="AR40" s="799"/>
      <c r="AS40" s="799"/>
      <c r="AT40" s="799"/>
      <c r="AU40" s="263"/>
      <c r="AV40" s="263"/>
      <c r="AW40" s="263"/>
      <c r="AX40" s="263"/>
      <c r="AY40" s="373"/>
      <c r="AZ40" s="281">
        <v>23</v>
      </c>
      <c r="BA40" s="489" t="s">
        <v>582</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72"/>
      <c r="K41" s="873"/>
      <c r="L41" s="873"/>
      <c r="M41" s="873"/>
      <c r="N41" s="874"/>
      <c r="O41" s="263"/>
      <c r="P41" s="263"/>
      <c r="Q41" s="263"/>
      <c r="R41" s="263"/>
      <c r="S41" s="263"/>
      <c r="T41" s="263"/>
      <c r="U41" s="263"/>
      <c r="V41" s="263"/>
      <c r="W41" s="263"/>
      <c r="X41" s="480"/>
      <c r="Y41" s="481"/>
      <c r="Z41" s="597"/>
      <c r="AA41" s="597"/>
      <c r="AB41" s="597"/>
      <c r="AC41" s="597"/>
      <c r="AD41" s="597"/>
      <c r="AE41" s="597"/>
      <c r="AF41" s="597"/>
      <c r="AG41" s="597"/>
      <c r="AH41" s="263"/>
      <c r="AI41" s="323"/>
      <c r="AJ41" s="480"/>
      <c r="AK41" s="480"/>
      <c r="AL41" s="480"/>
      <c r="AM41" s="481"/>
      <c r="AN41" s="481"/>
      <c r="AO41" s="481"/>
      <c r="AP41" s="481"/>
      <c r="AQ41" s="481"/>
      <c r="AR41" s="481"/>
      <c r="AS41" s="481"/>
      <c r="AT41" s="481"/>
      <c r="AU41" s="263"/>
      <c r="AV41" s="479"/>
      <c r="AW41" s="479"/>
      <c r="AX41" s="263"/>
      <c r="AY41" s="485"/>
      <c r="AZ41" s="491"/>
      <c r="BA41" s="483"/>
      <c r="BB41" s="484"/>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7" t="str">
        <f>D14&amp;" (W4,7)"</f>
        <v>Construction (ISIC 41-43) (W4,7)</v>
      </c>
      <c r="E42" s="263"/>
      <c r="F42" s="263"/>
      <c r="G42" s="263"/>
      <c r="H42" s="263"/>
      <c r="I42" s="263"/>
      <c r="J42" s="590"/>
      <c r="K42" s="590"/>
      <c r="L42" s="590"/>
      <c r="M42" s="590"/>
      <c r="N42" s="590"/>
      <c r="O42" s="263"/>
      <c r="P42" s="263"/>
      <c r="Q42" s="263"/>
      <c r="R42" s="263"/>
      <c r="S42" s="263"/>
      <c r="T42" s="263"/>
      <c r="U42" s="880" t="str">
        <f>D25&amp;" (W4,18)"</f>
        <v>Wastewater treated in independent treatment facilities (W4,18)</v>
      </c>
      <c r="V42" s="881"/>
      <c r="W42" s="881"/>
      <c r="X42" s="881"/>
      <c r="Y42" s="881"/>
      <c r="Z42" s="881"/>
      <c r="AA42" s="881"/>
      <c r="AB42" s="882"/>
      <c r="AC42" s="597"/>
      <c r="AD42" s="597"/>
      <c r="AE42" s="597"/>
      <c r="AF42" s="597"/>
      <c r="AG42" s="597"/>
      <c r="AH42" s="263"/>
      <c r="AI42" s="323"/>
      <c r="AJ42" s="480"/>
      <c r="AK42" s="480"/>
      <c r="AL42" s="480"/>
      <c r="AM42" s="481"/>
      <c r="AN42" s="481"/>
      <c r="AO42" s="481"/>
      <c r="AP42" s="481"/>
      <c r="AQ42" s="481"/>
      <c r="AR42" s="481"/>
      <c r="AS42" s="481"/>
      <c r="AT42" s="481"/>
      <c r="AU42" s="263"/>
      <c r="AV42" s="479"/>
      <c r="AW42" s="479"/>
      <c r="AX42" s="263"/>
      <c r="AY42" s="485"/>
      <c r="AZ42" s="269" t="s">
        <v>176</v>
      </c>
      <c r="BA42" s="266" t="s">
        <v>583</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90"/>
      <c r="K43" s="590"/>
      <c r="L43" s="590"/>
      <c r="M43" s="590"/>
      <c r="N43" s="590"/>
      <c r="O43" s="263"/>
      <c r="P43" s="263"/>
      <c r="Q43" s="263"/>
      <c r="R43" s="263"/>
      <c r="S43" s="263"/>
      <c r="T43" s="263"/>
      <c r="U43" s="263"/>
      <c r="V43" s="263"/>
      <c r="W43" s="263"/>
      <c r="X43" s="263"/>
      <c r="Y43" s="263"/>
      <c r="Z43" s="263"/>
      <c r="AA43" s="263"/>
      <c r="AB43" s="263"/>
      <c r="AC43" s="263"/>
      <c r="AD43" s="597"/>
      <c r="AE43" s="597"/>
      <c r="AF43" s="597"/>
      <c r="AG43" s="597"/>
      <c r="AH43" s="263"/>
      <c r="AI43" s="323"/>
      <c r="AJ43" s="480"/>
      <c r="AK43" s="480"/>
      <c r="AL43" s="480"/>
      <c r="AM43" s="481"/>
      <c r="AN43" s="481"/>
      <c r="AO43" s="481"/>
      <c r="AP43" s="481"/>
      <c r="AQ43" s="481"/>
      <c r="AR43" s="481"/>
      <c r="AS43" s="481"/>
      <c r="AT43" s="481"/>
      <c r="AU43" s="263"/>
      <c r="AV43" s="479"/>
      <c r="AW43" s="479"/>
      <c r="AX43" s="263"/>
      <c r="AY43" s="485"/>
      <c r="AZ43" s="492"/>
      <c r="BA43" s="484"/>
      <c r="BB43" s="484"/>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7"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8"/>
      <c r="AJ44" s="393"/>
      <c r="AK44" s="393"/>
      <c r="AL44" s="393"/>
      <c r="AM44" s="799"/>
      <c r="AN44" s="799"/>
      <c r="AO44" s="799"/>
      <c r="AP44" s="799"/>
      <c r="AQ44" s="799"/>
      <c r="AR44" s="799"/>
      <c r="AS44" s="799"/>
      <c r="AT44" s="799"/>
      <c r="AU44" s="263"/>
      <c r="AV44" s="263"/>
      <c r="AW44" s="263"/>
      <c r="AX44" s="263"/>
      <c r="AY44" s="485"/>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90"/>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80"/>
      <c r="AN45" s="480"/>
      <c r="AO45" s="480"/>
      <c r="AP45" s="480"/>
      <c r="AQ45" s="480"/>
      <c r="AR45" s="480"/>
      <c r="AS45" s="480"/>
      <c r="AT45" s="480"/>
      <c r="AU45" s="263"/>
      <c r="AV45" s="263"/>
      <c r="AW45" s="263"/>
      <c r="AX45" s="263"/>
      <c r="AY45" s="485"/>
      <c r="AZ45" s="493"/>
      <c r="BA45" s="494"/>
      <c r="BB45" s="495"/>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267"/>
      <c r="CY45" s="267"/>
      <c r="CZ45" s="267"/>
      <c r="DA45" s="267"/>
      <c r="DB45" s="267"/>
      <c r="DC45" s="267"/>
      <c r="DD45" s="267"/>
      <c r="DE45" s="267"/>
    </row>
    <row r="46" spans="3:109" ht="28.5" customHeight="1">
      <c r="C46" s="375"/>
      <c r="D46" s="477" t="str">
        <f>D16&amp;" (W4,6)"</f>
        <v>Households (W4,6)</v>
      </c>
      <c r="E46" s="263"/>
      <c r="F46" s="263"/>
      <c r="G46" s="263"/>
      <c r="H46" s="263"/>
      <c r="I46" s="263"/>
      <c r="J46" s="263"/>
      <c r="K46" s="263"/>
      <c r="L46" s="263"/>
      <c r="M46" s="263"/>
      <c r="N46" s="263"/>
      <c r="O46" s="263"/>
      <c r="P46" s="263"/>
      <c r="Q46" s="263"/>
      <c r="R46" s="263"/>
      <c r="S46" s="263"/>
      <c r="T46" s="263"/>
      <c r="U46" s="880" t="str">
        <f>D26&amp;" (W4,19)"</f>
        <v>Non-treated wastewater (W4,19)</v>
      </c>
      <c r="V46" s="881"/>
      <c r="W46" s="881"/>
      <c r="X46" s="881"/>
      <c r="Y46" s="881"/>
      <c r="Z46" s="881"/>
      <c r="AA46" s="881"/>
      <c r="AB46" s="882"/>
      <c r="AC46" s="263"/>
      <c r="AD46" s="263"/>
      <c r="AE46" s="263"/>
      <c r="AF46" s="263"/>
      <c r="AG46" s="263"/>
      <c r="AH46" s="263"/>
      <c r="AI46" s="263"/>
      <c r="AJ46" s="263"/>
      <c r="AK46" s="263"/>
      <c r="AL46" s="263"/>
      <c r="AM46" s="480"/>
      <c r="AN46" s="480"/>
      <c r="AO46" s="480"/>
      <c r="AP46" s="480"/>
      <c r="AQ46" s="480"/>
      <c r="AR46" s="480"/>
      <c r="AS46" s="480"/>
      <c r="AT46" s="480"/>
      <c r="AU46" s="444"/>
      <c r="AV46" s="263"/>
      <c r="AW46" s="263"/>
      <c r="AX46" s="444"/>
      <c r="AZ46" s="281">
        <v>24</v>
      </c>
      <c r="BA46" s="266" t="s">
        <v>584</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5"/>
      <c r="D47" s="47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4"/>
      <c r="AV47" s="263"/>
      <c r="AW47" s="263"/>
      <c r="AX47" s="444"/>
      <c r="AZ47" s="295" t="s">
        <v>176</v>
      </c>
      <c r="BA47" s="296" t="s">
        <v>224</v>
      </c>
      <c r="BB47" s="94"/>
      <c r="BC47" s="497" t="str">
        <f>IF(OR(ISBLANK(F21),ISBLANK(F22),ISBLANK(F23),ISBLANK(F24)),"N/A",IF((BC44=BC46),"ok","&lt;&gt;"))</f>
        <v>N/A</v>
      </c>
      <c r="BD47" s="497"/>
      <c r="BE47" s="497" t="str">
        <f>IF(OR(ISBLANK(H21),ISBLANK(H22),ISBLANK(H23),ISBLANK(H24)),"N/A",IF((BE44=BE46),"ok","&lt;&gt;"))</f>
        <v>N/A</v>
      </c>
      <c r="BF47" s="497"/>
      <c r="BG47" s="497" t="str">
        <f>IF(OR(ISBLANK(J21),ISBLANK(J22),ISBLANK(J23),ISBLANK(J24)),"N/A",IF((BG44=BG46),"ok","&lt;&gt;"))</f>
        <v>N/A</v>
      </c>
      <c r="BH47" s="497"/>
      <c r="BI47" s="497" t="str">
        <f>IF(OR(ISBLANK(L21),ISBLANK(L22),ISBLANK(L23),ISBLANK(L24)),"N/A",IF((BI44=BI46),"ok","&lt;&gt;"))</f>
        <v>N/A</v>
      </c>
      <c r="BJ47" s="497"/>
      <c r="BK47" s="497" t="str">
        <f>IF(OR(ISBLANK(N21),ISBLANK(N22),ISBLANK(N23),ISBLANK(N24)),"N/A",IF((BK44=BK46),"ok","&lt;&gt;"))</f>
        <v>N/A</v>
      </c>
      <c r="BL47" s="497"/>
      <c r="BM47" s="497" t="str">
        <f>IF(OR(ISBLANK(P21),ISBLANK(P22),ISBLANK(P23),ISBLANK(P24)),"N/A",IF((BM44=BM46),"ok","&lt;&gt;"))</f>
        <v>N/A</v>
      </c>
      <c r="BN47" s="497"/>
      <c r="BO47" s="497" t="str">
        <f>IF(OR(ISBLANK(R21),ISBLANK(R22),ISBLANK(R23),ISBLANK(R24)),"N/A",IF((BO44=BO46),"ok","&lt;&gt;"))</f>
        <v>N/A</v>
      </c>
      <c r="BP47" s="497"/>
      <c r="BQ47" s="497" t="str">
        <f>IF(OR(ISBLANK(T21),ISBLANK(T22),ISBLANK(T23),ISBLANK(T24)),"N/A",IF((BQ44=BQ46),"ok","&lt;&gt;"))</f>
        <v>N/A</v>
      </c>
      <c r="BR47" s="497"/>
      <c r="BS47" s="497" t="str">
        <f>IF(OR(ISBLANK(V21),ISBLANK(V22),ISBLANK(V23),ISBLANK(V24)),"N/A",IF((BS44=BS46),"ok","&lt;&gt;"))</f>
        <v>N/A</v>
      </c>
      <c r="BT47" s="497"/>
      <c r="BU47" s="497" t="str">
        <f>IF(OR(ISBLANK(X21),ISBLANK(X22),ISBLANK(X23),ISBLANK(X24)),"N/A",IF((BU44=BU46),"ok","&lt;&gt;"))</f>
        <v>N/A</v>
      </c>
      <c r="BV47" s="497"/>
      <c r="BW47" s="497" t="str">
        <f>IF(OR(ISBLANK(Z21),ISBLANK(Z22),ISBLANK(Z23),ISBLANK(Z24)),"N/A",IF((BW44=BW46),"ok","&lt;&gt;"))</f>
        <v>N/A</v>
      </c>
      <c r="BX47" s="497"/>
      <c r="BY47" s="497" t="str">
        <f>IF(OR(ISBLANK(AB21),ISBLANK(AB22),ISBLANK(AB23),ISBLANK(AB24)),"N/A",IF((BY44=BY46),"ok","&lt;&gt;"))</f>
        <v>N/A</v>
      </c>
      <c r="BZ47" s="497"/>
      <c r="CA47" s="497" t="str">
        <f>IF(OR(ISBLANK(AD21),ISBLANK(AD22),ISBLANK(AD23),ISBLANK(AD24)),"N/A",IF((CA44=CA46),"ok","&lt;&gt;"))</f>
        <v>N/A</v>
      </c>
      <c r="CB47" s="497"/>
      <c r="CC47" s="497" t="str">
        <f>IF(OR(ISBLANK(AF21),ISBLANK(AF22),ISBLANK(AF23),ISBLANK(AF24)),"N/A",IF((CC44=CC46),"ok","&lt;&gt;"))</f>
        <v>N/A</v>
      </c>
      <c r="CD47" s="497"/>
      <c r="CE47" s="497" t="str">
        <f>IF(OR(ISBLANK(AH21),ISBLANK(AH22),ISBLANK(AH23),ISBLANK(AH24)),"N/A",IF((CE44=CE46),"ok","&lt;&gt;"))</f>
        <v>N/A</v>
      </c>
      <c r="CF47" s="497"/>
      <c r="CG47" s="497" t="str">
        <f>IF(OR(ISBLANK(AJ21),ISBLANK(AJ22),ISBLANK(AJ23),ISBLANK(AJ24)),"N/A",IF((CG44=CG46),"ok","&lt;&gt;"))</f>
        <v>N/A</v>
      </c>
      <c r="CH47" s="497"/>
      <c r="CI47" s="497" t="str">
        <f>IF(OR(ISBLANK(AL21),ISBLANK(AL22),ISBLANK(AL23),ISBLANK(AL24)),"N/A",IF((CI44=CI46),"ok","&lt;&gt;"))</f>
        <v>N/A</v>
      </c>
      <c r="CJ47" s="497"/>
      <c r="CK47" s="497" t="str">
        <f>IF(OR(ISBLANK(AN21),ISBLANK(AN22),ISBLANK(AN23),ISBLANK(AN24)),"N/A",IF((CK44=CK46),"ok","&lt;&gt;"))</f>
        <v>N/A</v>
      </c>
      <c r="CL47" s="497"/>
      <c r="CM47" s="497" t="str">
        <f>IF(OR(ISBLANK(AP21),ISBLANK(AP22),ISBLANK(AP23),ISBLANK(AP24)),"N/A",IF((CM44=CM46),"ok","&lt;&gt;"))</f>
        <v>N/A</v>
      </c>
      <c r="CN47" s="497"/>
      <c r="CO47" s="497" t="str">
        <f>IF(OR(ISBLANK(AR21),ISBLANK(AR22),ISBLANK(AR23),ISBLANK(AR24)),"N/A",IF((CO44=CO46),"ok","&lt;&gt;"))</f>
        <v>N/A</v>
      </c>
      <c r="CP47" s="497"/>
      <c r="CQ47" s="497" t="str">
        <f>IF(OR(ISBLANK(AT21),ISBLANK(AT22),ISBLANK(AT23),ISBLANK(AT24)),"N/A",IF((CQ44=CQ46),"ok","&lt;&gt;"))</f>
        <v>N/A</v>
      </c>
      <c r="CR47" s="497"/>
      <c r="CS47" s="497" t="str">
        <f>IF(OR(ISBLANK(AV21),ISBLANK(AV22),ISBLANK(AV23),ISBLANK(AV24)),"N/A",IF((CS44=CS46),"ok","&lt;&gt;"))</f>
        <v>N/A</v>
      </c>
      <c r="CT47" s="497"/>
      <c r="CU47" s="497"/>
      <c r="CV47" s="497"/>
      <c r="CW47" s="497"/>
      <c r="CX47" s="267"/>
      <c r="CY47" s="267"/>
      <c r="CZ47" s="267"/>
      <c r="DA47" s="267"/>
      <c r="DB47" s="267"/>
      <c r="DC47" s="267"/>
      <c r="DD47" s="267"/>
      <c r="DE47" s="267"/>
    </row>
    <row r="48" spans="1:109" ht="14.25" customHeight="1">
      <c r="A48" s="407"/>
      <c r="B48" s="394">
        <v>1</v>
      </c>
      <c r="C48" s="283" t="s">
        <v>298</v>
      </c>
      <c r="D48" s="376"/>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7"/>
      <c r="AH48" s="286"/>
      <c r="AI48" s="287"/>
      <c r="AJ48" s="288"/>
      <c r="AK48" s="287"/>
      <c r="AL48" s="286"/>
      <c r="AM48" s="287"/>
      <c r="AN48" s="286"/>
      <c r="AO48" s="287"/>
      <c r="AP48" s="287"/>
      <c r="AQ48" s="287"/>
      <c r="AR48" s="287"/>
      <c r="AS48" s="287"/>
      <c r="AT48" s="338"/>
      <c r="AU48" s="337"/>
      <c r="AV48" s="287"/>
      <c r="AW48" s="287"/>
      <c r="AX48" s="414"/>
      <c r="AY48" s="446"/>
      <c r="AZ48" s="297" t="s">
        <v>55</v>
      </c>
      <c r="BA48" s="298" t="s">
        <v>56</v>
      </c>
      <c r="BB48" s="262"/>
      <c r="BC48" s="498"/>
      <c r="BD48" s="498"/>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9"/>
      <c r="CD48" s="498"/>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8"/>
      <c r="D49" s="378"/>
      <c r="E49" s="379"/>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80"/>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1" t="s">
        <v>296</v>
      </c>
      <c r="E50" s="381"/>
      <c r="F50" s="382"/>
      <c r="G50" s="382"/>
      <c r="H50" s="383"/>
      <c r="I50" s="384"/>
      <c r="J50" s="385"/>
      <c r="K50" s="384"/>
      <c r="L50" s="385"/>
      <c r="M50" s="384"/>
      <c r="N50" s="385"/>
      <c r="O50" s="384"/>
      <c r="P50" s="385"/>
      <c r="Q50" s="384"/>
      <c r="R50" s="385"/>
      <c r="S50" s="384"/>
      <c r="T50" s="385"/>
      <c r="U50" s="384"/>
      <c r="V50" s="385"/>
      <c r="W50" s="384"/>
      <c r="X50" s="383"/>
      <c r="Y50" s="384"/>
      <c r="Z50" s="383"/>
      <c r="AA50" s="384"/>
      <c r="AB50" s="383"/>
      <c r="AC50" s="384"/>
      <c r="AD50" s="383"/>
      <c r="AE50" s="384"/>
      <c r="AF50" s="383"/>
      <c r="AG50" s="386"/>
      <c r="AH50" s="383"/>
      <c r="AI50" s="384"/>
      <c r="AJ50" s="385"/>
      <c r="AK50" s="384"/>
      <c r="AL50" s="383"/>
      <c r="AM50" s="384"/>
      <c r="AN50" s="383"/>
      <c r="AO50" s="384"/>
      <c r="AP50" s="384"/>
      <c r="AQ50" s="384"/>
      <c r="AR50" s="384"/>
      <c r="AS50" s="384"/>
      <c r="AT50" s="383"/>
      <c r="AU50" s="384"/>
      <c r="AV50" s="384"/>
      <c r="AW50" s="384"/>
      <c r="AX50" s="449"/>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8" customFormat="1" ht="18" customHeight="1">
      <c r="A51" s="162">
        <v>1</v>
      </c>
      <c r="B51" s="163">
        <v>-1</v>
      </c>
      <c r="C51" s="515" t="s">
        <v>649</v>
      </c>
      <c r="D51" s="795" t="s">
        <v>650</v>
      </c>
      <c r="E51" s="796"/>
      <c r="F51" s="796"/>
      <c r="G51" s="796"/>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8"/>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5"/>
      <c r="D52" s="807"/>
      <c r="E52" s="808"/>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8"/>
      <c r="AI52" s="808"/>
      <c r="AJ52" s="808"/>
      <c r="AK52" s="808"/>
      <c r="AL52" s="808"/>
      <c r="AM52" s="808"/>
      <c r="AN52" s="808"/>
      <c r="AO52" s="808"/>
      <c r="AP52" s="808"/>
      <c r="AQ52" s="808"/>
      <c r="AR52" s="808"/>
      <c r="AS52" s="808"/>
      <c r="AT52" s="808"/>
      <c r="AU52" s="808"/>
      <c r="AV52" s="808"/>
      <c r="AW52" s="808"/>
      <c r="AX52" s="809"/>
      <c r="AZ52" s="297"/>
      <c r="BA52" s="298"/>
      <c r="BB52" s="262"/>
      <c r="BC52" s="498"/>
      <c r="BD52" s="498"/>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8"/>
      <c r="CD52" s="498"/>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5"/>
      <c r="D53" s="807"/>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09"/>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5"/>
      <c r="D54" s="807"/>
      <c r="E54" s="808"/>
      <c r="F54" s="808"/>
      <c r="G54" s="808"/>
      <c r="H54" s="808"/>
      <c r="I54" s="808"/>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808"/>
      <c r="AV54" s="808"/>
      <c r="AW54" s="808"/>
      <c r="AX54" s="809"/>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5"/>
      <c r="D55" s="807"/>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c r="AH55" s="808"/>
      <c r="AI55" s="808"/>
      <c r="AJ55" s="808"/>
      <c r="AK55" s="808"/>
      <c r="AL55" s="808"/>
      <c r="AM55" s="808"/>
      <c r="AN55" s="808"/>
      <c r="AO55" s="808"/>
      <c r="AP55" s="808"/>
      <c r="AQ55" s="808"/>
      <c r="AR55" s="808"/>
      <c r="AS55" s="808"/>
      <c r="AT55" s="808"/>
      <c r="AU55" s="808"/>
      <c r="AV55" s="808"/>
      <c r="AW55" s="808"/>
      <c r="AX55" s="809"/>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5"/>
      <c r="D56" s="807"/>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c r="AH56" s="808"/>
      <c r="AI56" s="808"/>
      <c r="AJ56" s="808"/>
      <c r="AK56" s="808"/>
      <c r="AL56" s="808"/>
      <c r="AM56" s="808"/>
      <c r="AN56" s="808"/>
      <c r="AO56" s="808"/>
      <c r="AP56" s="808"/>
      <c r="AQ56" s="808"/>
      <c r="AR56" s="808"/>
      <c r="AS56" s="808"/>
      <c r="AT56" s="808"/>
      <c r="AU56" s="808"/>
      <c r="AV56" s="808"/>
      <c r="AW56" s="808"/>
      <c r="AX56" s="809"/>
    </row>
    <row r="57" spans="3:50" ht="18" customHeight="1">
      <c r="C57" s="515"/>
      <c r="D57" s="807"/>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8"/>
      <c r="AU57" s="808"/>
      <c r="AV57" s="808"/>
      <c r="AW57" s="808"/>
      <c r="AX57" s="809"/>
    </row>
    <row r="58" spans="3:50" ht="18" customHeight="1">
      <c r="C58" s="515"/>
      <c r="D58" s="807"/>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8"/>
      <c r="AU58" s="808"/>
      <c r="AV58" s="808"/>
      <c r="AW58" s="808"/>
      <c r="AX58" s="809"/>
    </row>
    <row r="59" spans="3:50" ht="18" customHeight="1">
      <c r="C59" s="515"/>
      <c r="D59" s="795"/>
      <c r="E59" s="796"/>
      <c r="F59" s="796"/>
      <c r="G59" s="796"/>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3:50" ht="18" customHeight="1">
      <c r="C60" s="515"/>
      <c r="D60" s="807"/>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8"/>
      <c r="AN60" s="808"/>
      <c r="AO60" s="808"/>
      <c r="AP60" s="808"/>
      <c r="AQ60" s="808"/>
      <c r="AR60" s="808"/>
      <c r="AS60" s="808"/>
      <c r="AT60" s="808"/>
      <c r="AU60" s="808"/>
      <c r="AV60" s="808"/>
      <c r="AW60" s="808"/>
      <c r="AX60" s="809"/>
    </row>
    <row r="61" spans="3:50" ht="18" customHeight="1">
      <c r="C61" s="515"/>
      <c r="D61" s="807"/>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8"/>
      <c r="AN61" s="808"/>
      <c r="AO61" s="808"/>
      <c r="AP61" s="808"/>
      <c r="AQ61" s="808"/>
      <c r="AR61" s="808"/>
      <c r="AS61" s="808"/>
      <c r="AT61" s="808"/>
      <c r="AU61" s="808"/>
      <c r="AV61" s="808"/>
      <c r="AW61" s="808"/>
      <c r="AX61" s="809"/>
    </row>
    <row r="62" spans="3:50" ht="18" customHeight="1">
      <c r="C62" s="515"/>
      <c r="D62" s="807"/>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8"/>
      <c r="AU62" s="808"/>
      <c r="AV62" s="808"/>
      <c r="AW62" s="808"/>
      <c r="AX62" s="809"/>
    </row>
    <row r="63" spans="3:50" ht="18" customHeight="1">
      <c r="C63" s="515"/>
      <c r="D63" s="807"/>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c r="AI63" s="808"/>
      <c r="AJ63" s="808"/>
      <c r="AK63" s="808"/>
      <c r="AL63" s="808"/>
      <c r="AM63" s="808"/>
      <c r="AN63" s="808"/>
      <c r="AO63" s="808"/>
      <c r="AP63" s="808"/>
      <c r="AQ63" s="808"/>
      <c r="AR63" s="808"/>
      <c r="AS63" s="808"/>
      <c r="AT63" s="808"/>
      <c r="AU63" s="808"/>
      <c r="AV63" s="808"/>
      <c r="AW63" s="808"/>
      <c r="AX63" s="809"/>
    </row>
    <row r="64" spans="3:50" ht="18" customHeight="1">
      <c r="C64" s="515"/>
      <c r="D64" s="807"/>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9"/>
    </row>
    <row r="65" spans="3:50" ht="18" customHeight="1">
      <c r="C65" s="515"/>
      <c r="D65" s="807"/>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8"/>
      <c r="AR65" s="808"/>
      <c r="AS65" s="808"/>
      <c r="AT65" s="808"/>
      <c r="AU65" s="808"/>
      <c r="AV65" s="808"/>
      <c r="AW65" s="808"/>
      <c r="AX65" s="809"/>
    </row>
    <row r="66" spans="3:50" ht="18" customHeight="1">
      <c r="C66" s="515"/>
      <c r="D66" s="807"/>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8"/>
      <c r="AN66" s="808"/>
      <c r="AO66" s="808"/>
      <c r="AP66" s="808"/>
      <c r="AQ66" s="808"/>
      <c r="AR66" s="808"/>
      <c r="AS66" s="808"/>
      <c r="AT66" s="808"/>
      <c r="AU66" s="808"/>
      <c r="AV66" s="808"/>
      <c r="AW66" s="808"/>
      <c r="AX66" s="809"/>
    </row>
    <row r="67" spans="3:50" ht="18" customHeight="1">
      <c r="C67" s="515"/>
      <c r="D67" s="795"/>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c r="AI67" s="796"/>
      <c r="AJ67" s="796"/>
      <c r="AK67" s="796"/>
      <c r="AL67" s="796"/>
      <c r="AM67" s="796"/>
      <c r="AN67" s="796"/>
      <c r="AO67" s="796"/>
      <c r="AP67" s="796"/>
      <c r="AQ67" s="796"/>
      <c r="AR67" s="796"/>
      <c r="AS67" s="796"/>
      <c r="AT67" s="796"/>
      <c r="AU67" s="796"/>
      <c r="AV67" s="796"/>
      <c r="AW67" s="796"/>
      <c r="AX67" s="797"/>
    </row>
    <row r="68" spans="3:50" ht="18" customHeight="1">
      <c r="C68" s="515"/>
      <c r="D68" s="807"/>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8"/>
      <c r="AN68" s="808"/>
      <c r="AO68" s="808"/>
      <c r="AP68" s="808"/>
      <c r="AQ68" s="808"/>
      <c r="AR68" s="808"/>
      <c r="AS68" s="808"/>
      <c r="AT68" s="808"/>
      <c r="AU68" s="808"/>
      <c r="AV68" s="808"/>
      <c r="AW68" s="808"/>
      <c r="AX68" s="809"/>
    </row>
    <row r="69" spans="3:50" ht="18" customHeight="1">
      <c r="C69" s="515"/>
      <c r="D69" s="807"/>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9"/>
    </row>
    <row r="70" spans="3:50" ht="18" customHeight="1">
      <c r="C70" s="515"/>
      <c r="D70" s="807"/>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808"/>
      <c r="AL70" s="808"/>
      <c r="AM70" s="808"/>
      <c r="AN70" s="808"/>
      <c r="AO70" s="808"/>
      <c r="AP70" s="808"/>
      <c r="AQ70" s="808"/>
      <c r="AR70" s="808"/>
      <c r="AS70" s="808"/>
      <c r="AT70" s="808"/>
      <c r="AU70" s="808"/>
      <c r="AV70" s="808"/>
      <c r="AW70" s="808"/>
      <c r="AX70" s="809"/>
    </row>
    <row r="71" spans="3:50" ht="18" customHeight="1">
      <c r="C71" s="515"/>
      <c r="D71" s="807"/>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8"/>
      <c r="AG71" s="808"/>
      <c r="AH71" s="808"/>
      <c r="AI71" s="808"/>
      <c r="AJ71" s="808"/>
      <c r="AK71" s="808"/>
      <c r="AL71" s="808"/>
      <c r="AM71" s="808"/>
      <c r="AN71" s="808"/>
      <c r="AO71" s="808"/>
      <c r="AP71" s="808"/>
      <c r="AQ71" s="808"/>
      <c r="AR71" s="808"/>
      <c r="AS71" s="808"/>
      <c r="AT71" s="808"/>
      <c r="AU71" s="808"/>
      <c r="AV71" s="808"/>
      <c r="AW71" s="808"/>
      <c r="AX71" s="809"/>
    </row>
    <row r="72" spans="3:50" ht="18" customHeight="1">
      <c r="C72" s="515"/>
      <c r="D72" s="807"/>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808"/>
      <c r="AR72" s="808"/>
      <c r="AS72" s="808"/>
      <c r="AT72" s="808"/>
      <c r="AU72" s="808"/>
      <c r="AV72" s="808"/>
      <c r="AW72" s="808"/>
      <c r="AX72" s="809"/>
    </row>
    <row r="73" spans="1:101" ht="18" customHeight="1">
      <c r="A73" s="451"/>
      <c r="B73" s="398"/>
      <c r="C73" s="340"/>
      <c r="D73" s="538"/>
      <c r="E73" s="538"/>
      <c r="F73" s="538"/>
      <c r="G73" s="538"/>
      <c r="H73" s="538"/>
      <c r="I73" s="536"/>
      <c r="J73" s="536"/>
      <c r="K73" s="536"/>
      <c r="L73" s="536"/>
      <c r="M73" s="536"/>
      <c r="N73" s="536"/>
      <c r="O73" s="536"/>
      <c r="P73" s="536"/>
      <c r="Q73" s="536"/>
      <c r="R73" s="536"/>
      <c r="S73" s="536"/>
      <c r="T73" s="536"/>
      <c r="U73" s="536"/>
      <c r="V73" s="536"/>
      <c r="W73" s="536"/>
      <c r="X73" s="538"/>
      <c r="Y73" s="536"/>
      <c r="Z73" s="538"/>
      <c r="AA73" s="536"/>
      <c r="AB73" s="538"/>
      <c r="AC73" s="536"/>
      <c r="AD73" s="538"/>
      <c r="AE73" s="536"/>
      <c r="AF73" s="538"/>
      <c r="AG73" s="539"/>
      <c r="AH73" s="538"/>
      <c r="AI73" s="536"/>
      <c r="AJ73" s="536"/>
      <c r="AK73" s="536"/>
      <c r="AL73" s="538"/>
      <c r="AM73" s="536"/>
      <c r="AN73" s="538"/>
      <c r="AO73" s="537"/>
      <c r="AP73" s="537"/>
      <c r="AQ73" s="537"/>
      <c r="AR73" s="537"/>
      <c r="AS73" s="537"/>
      <c r="AT73" s="540"/>
      <c r="AU73" s="537"/>
      <c r="AV73" s="537"/>
      <c r="AW73" s="537"/>
      <c r="AX73" s="540"/>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row>
    <row r="74" spans="52:92" ht="18" customHeight="1">
      <c r="AZ74" s="500"/>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c r="CF74" s="501"/>
      <c r="CG74" s="501"/>
      <c r="CH74" s="501"/>
      <c r="CI74" s="501"/>
      <c r="CJ74" s="501"/>
      <c r="CK74" s="501"/>
      <c r="CL74" s="501"/>
      <c r="CM74" s="501"/>
      <c r="CN74" s="501"/>
    </row>
    <row r="75" spans="52:92" ht="18" customHeight="1">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2"/>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2"/>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9"/>
      <c r="BA78" s="39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9"/>
      <c r="BA79" s="39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2"/>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3"/>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2"/>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2"/>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2"/>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9"/>
      <c r="BA85" s="39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2"/>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2"/>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9"/>
      <c r="BA88" s="39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2"/>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9"/>
      <c r="BA90" s="39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2"/>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2"/>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2"/>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9"/>
      <c r="BA95" s="39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row>
    <row r="97" spans="52:92" ht="12.75">
      <c r="AZ97" s="95"/>
      <c r="BA97" s="502"/>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2"/>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9"/>
      <c r="BA99" s="39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4"/>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5"/>
      <c r="BA101" s="39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5"/>
      <c r="BA102" s="39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5"/>
      <c r="BA103" s="39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5"/>
      <c r="BA104" s="39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5"/>
      <c r="BA105" s="39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5"/>
      <c r="BA106" s="39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5"/>
      <c r="BA107" s="39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5"/>
      <c r="BA108" s="39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5"/>
      <c r="BA109" s="39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2"/>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2"/>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9"/>
      <c r="BA112" s="39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2"/>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9"/>
      <c r="BA114" s="409"/>
      <c r="BB114" s="40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9"/>
      <c r="BD115" s="40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row>
    <row r="117" spans="52:92" ht="12.75">
      <c r="AZ117" s="409"/>
      <c r="BA117" s="506"/>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row>
  </sheetData>
  <sheetProtection formatCells="0" formatColumns="0" formatRows="0" insertColumns="0"/>
  <mergeCells count="36">
    <mergeCell ref="U46:AB46"/>
    <mergeCell ref="D69:AX69"/>
    <mergeCell ref="D31:AX31"/>
    <mergeCell ref="D57:AX57"/>
    <mergeCell ref="D72:AX72"/>
    <mergeCell ref="D65:AX65"/>
    <mergeCell ref="D66:AX66"/>
    <mergeCell ref="D67:AX67"/>
    <mergeCell ref="D68:AX68"/>
    <mergeCell ref="D70:AX70"/>
    <mergeCell ref="D71:AX71"/>
    <mergeCell ref="D55:AX55"/>
    <mergeCell ref="D61:AX61"/>
    <mergeCell ref="C5:AN5"/>
    <mergeCell ref="D30:AX30"/>
    <mergeCell ref="D53:AX53"/>
    <mergeCell ref="D54:AX54"/>
    <mergeCell ref="D32:AX32"/>
    <mergeCell ref="D56:AX56"/>
    <mergeCell ref="AM40:AT40"/>
    <mergeCell ref="D62:AX62"/>
    <mergeCell ref="D63:AX63"/>
    <mergeCell ref="D64:AX64"/>
    <mergeCell ref="D58:AX58"/>
    <mergeCell ref="D60:AX60"/>
    <mergeCell ref="D59:AX59"/>
    <mergeCell ref="D33:AX33"/>
    <mergeCell ref="AM34:AT34"/>
    <mergeCell ref="D52:AX52"/>
    <mergeCell ref="D51:AX51"/>
    <mergeCell ref="J38:N41"/>
    <mergeCell ref="U34:AB34"/>
    <mergeCell ref="U38:AB38"/>
    <mergeCell ref="U42:AB42"/>
    <mergeCell ref="AM38:AT38"/>
    <mergeCell ref="AM44:AT44"/>
  </mergeCells>
  <conditionalFormatting sqref="F8 H8">
    <cfRule type="cellIs" priority="52" dxfId="336" operator="lessThan" stopIfTrue="1">
      <formula>0.99*(F9+F10+F11+F12+F14+F15+F16)</formula>
    </cfRule>
  </conditionalFormatting>
  <conditionalFormatting sqref="F17 H17">
    <cfRule type="cellIs" priority="51" dxfId="336" operator="lessThan" stopIfTrue="1">
      <formula>0.99*(F18+F19+F20)</formula>
    </cfRule>
  </conditionalFormatting>
  <conditionalFormatting sqref="F21 H21">
    <cfRule type="cellIs" priority="50" dxfId="336" operator="lessThan" stopIfTrue="1">
      <formula>0.99*(F22+F23+F24)</formula>
    </cfRule>
  </conditionalFormatting>
  <conditionalFormatting sqref="BC42:CW42 BC36:CW36 BC47:CW47">
    <cfRule type="cellIs" priority="49" dxfId="335" operator="equal" stopIfTrue="1">
      <formula>"&lt;&gt;"</formula>
    </cfRule>
  </conditionalFormatting>
  <conditionalFormatting sqref="BE8:BE27">
    <cfRule type="cellIs" priority="47" dxfId="335" operator="equal" stopIfTrue="1">
      <formula>"&gt; 100%"</formula>
    </cfRule>
  </conditionalFormatting>
  <conditionalFormatting sqref="CK8:CK27 CW8:CW27 BI8:BI27 BK8:BK27 BM8:BM27 BO8:BO27 BQ8:BQ27 BS8:BS27 BU8:BU27 BW8:BW27 BY8:BY27 CA8:CA27 CC8:CC27 CE8:CE27 CG8:CG27 CI8:CI27 CM8:CM27 BG8:BG27">
    <cfRule type="cellIs" priority="48" dxfId="335" operator="equal" stopIfTrue="1">
      <formula>"&gt; 25%"</formula>
    </cfRule>
  </conditionalFormatting>
  <conditionalFormatting sqref="BC33:CW33">
    <cfRule type="cellIs" priority="46" dxfId="335" operator="equal" stopIfTrue="1">
      <formula>"&lt;&gt;"</formula>
    </cfRule>
  </conditionalFormatting>
  <conditionalFormatting sqref="CK8:CK27 CM8:CM27">
    <cfRule type="cellIs" priority="44" dxfId="335" operator="equal" stopIfTrue="1">
      <formula>"&gt; 25%"</formula>
    </cfRule>
  </conditionalFormatting>
  <conditionalFormatting sqref="CO8:CO27 CQ8:CQ27 CS8:CS27">
    <cfRule type="cellIs" priority="42" dxfId="335" operator="equal" stopIfTrue="1">
      <formula>"&gt; 25%"</formula>
    </cfRule>
  </conditionalFormatting>
  <conditionalFormatting sqref="CO8:CO27 CQ8:CQ27 CS8:CS27">
    <cfRule type="cellIs" priority="41" dxfId="335" operator="equal" stopIfTrue="1">
      <formula>"&gt; 25%"</formula>
    </cfRule>
  </conditionalFormatting>
  <conditionalFormatting sqref="J8 L8">
    <cfRule type="cellIs" priority="40" dxfId="336" operator="lessThan" stopIfTrue="1">
      <formula>0.99*(J9+J10+J11+J12+J14+J15+J16)</formula>
    </cfRule>
  </conditionalFormatting>
  <conditionalFormatting sqref="J17 L17">
    <cfRule type="cellIs" priority="39" dxfId="336" operator="lessThan" stopIfTrue="1">
      <formula>0.99*(J18+J19+J20)</formula>
    </cfRule>
  </conditionalFormatting>
  <conditionalFormatting sqref="J21 L21">
    <cfRule type="cellIs" priority="38" dxfId="336" operator="lessThan" stopIfTrue="1">
      <formula>0.99*(J22+J23+J24)</formula>
    </cfRule>
  </conditionalFormatting>
  <conditionalFormatting sqref="N8 P8">
    <cfRule type="cellIs" priority="37" dxfId="336" operator="lessThan" stopIfTrue="1">
      <formula>0.99*(N9+N10+N11+N12+N14+N15+N16)</formula>
    </cfRule>
  </conditionalFormatting>
  <conditionalFormatting sqref="N17 P17">
    <cfRule type="cellIs" priority="36" dxfId="336" operator="lessThan" stopIfTrue="1">
      <formula>0.99*(N18+N19+N20)</formula>
    </cfRule>
  </conditionalFormatting>
  <conditionalFormatting sqref="N21 P21">
    <cfRule type="cellIs" priority="35" dxfId="336" operator="lessThan" stopIfTrue="1">
      <formula>0.99*(N22+N23+N24)</formula>
    </cfRule>
  </conditionalFormatting>
  <conditionalFormatting sqref="R8 T8">
    <cfRule type="cellIs" priority="34" dxfId="336" operator="lessThan" stopIfTrue="1">
      <formula>0.99*(R9+R10+R11+R12+R14+R15+R16)</formula>
    </cfRule>
  </conditionalFormatting>
  <conditionalFormatting sqref="R17 T17">
    <cfRule type="cellIs" priority="33" dxfId="336" operator="lessThan" stopIfTrue="1">
      <formula>0.99*(R18+R19+R20)</formula>
    </cfRule>
  </conditionalFormatting>
  <conditionalFormatting sqref="R21 T21">
    <cfRule type="cellIs" priority="32" dxfId="336" operator="lessThan" stopIfTrue="1">
      <formula>0.99*(R22+R23+R24)</formula>
    </cfRule>
  </conditionalFormatting>
  <conditionalFormatting sqref="V8 X8">
    <cfRule type="cellIs" priority="31" dxfId="336" operator="lessThan" stopIfTrue="1">
      <formula>0.99*(V9+V10+V11+V12+V14+V15+V16)</formula>
    </cfRule>
  </conditionalFormatting>
  <conditionalFormatting sqref="V17 X17">
    <cfRule type="cellIs" priority="30" dxfId="336" operator="lessThan" stopIfTrue="1">
      <formula>0.99*(V18+V19+V20)</formula>
    </cfRule>
  </conditionalFormatting>
  <conditionalFormatting sqref="V21 X21">
    <cfRule type="cellIs" priority="29" dxfId="336" operator="lessThan" stopIfTrue="1">
      <formula>0.99*(V22+V23+V24)</formula>
    </cfRule>
  </conditionalFormatting>
  <conditionalFormatting sqref="Z8 AB8">
    <cfRule type="cellIs" priority="28" dxfId="336" operator="lessThan" stopIfTrue="1">
      <formula>0.99*(Z9+Z10+Z11+Z12+Z14+Z15+Z16)</formula>
    </cfRule>
  </conditionalFormatting>
  <conditionalFormatting sqref="Z17 AB17">
    <cfRule type="cellIs" priority="27" dxfId="336" operator="lessThan" stopIfTrue="1">
      <formula>0.99*(Z18+Z19+Z20)</formula>
    </cfRule>
  </conditionalFormatting>
  <conditionalFormatting sqref="Z21 AB21">
    <cfRule type="cellIs" priority="26" dxfId="336" operator="lessThan" stopIfTrue="1">
      <formula>0.99*(Z22+Z23+Z24)</formula>
    </cfRule>
  </conditionalFormatting>
  <conditionalFormatting sqref="AD8 AF8">
    <cfRule type="cellIs" priority="25" dxfId="336" operator="lessThan" stopIfTrue="1">
      <formula>0.99*(AD9+AD10+AD11+AD12+AD14+AD15+AD16)</formula>
    </cfRule>
  </conditionalFormatting>
  <conditionalFormatting sqref="AD17 AF17">
    <cfRule type="cellIs" priority="24" dxfId="336" operator="lessThan" stopIfTrue="1">
      <formula>0.99*(AD18+AD19+AD20)</formula>
    </cfRule>
  </conditionalFormatting>
  <conditionalFormatting sqref="AD21 AF21">
    <cfRule type="cellIs" priority="23" dxfId="336" operator="lessThan" stopIfTrue="1">
      <formula>0.99*(AD22+AD23+AD24)</formula>
    </cfRule>
  </conditionalFormatting>
  <conditionalFormatting sqref="AH8">
    <cfRule type="cellIs" priority="22" dxfId="336" operator="lessThan" stopIfTrue="1">
      <formula>0.99*(AH9+AH10+AH11+AH12+AH14+AH15+AH16)</formula>
    </cfRule>
  </conditionalFormatting>
  <conditionalFormatting sqref="AH17">
    <cfRule type="cellIs" priority="21" dxfId="336" operator="lessThan" stopIfTrue="1">
      <formula>0.99*(AH18+AH19+AH20)</formula>
    </cfRule>
  </conditionalFormatting>
  <conditionalFormatting sqref="AH21 AJ21">
    <cfRule type="cellIs" priority="20" dxfId="336" operator="lessThan" stopIfTrue="1">
      <formula>0.99*(AH22+AH23+AH24)</formula>
    </cfRule>
  </conditionalFormatting>
  <conditionalFormatting sqref="AL21 AN21">
    <cfRule type="cellIs" priority="17" dxfId="336" operator="lessThan" stopIfTrue="1">
      <formula>0.99*(AL22+AL23+AL24)</formula>
    </cfRule>
  </conditionalFormatting>
  <conditionalFormatting sqref="AP21 AR21">
    <cfRule type="cellIs" priority="14" dxfId="336" operator="lessThan" stopIfTrue="1">
      <formula>0.99*(AP22+AP23+AP24)</formula>
    </cfRule>
  </conditionalFormatting>
  <conditionalFormatting sqref="AT21 AV21">
    <cfRule type="cellIs" priority="11" dxfId="336" operator="lessThan" stopIfTrue="1">
      <formula>0.99*(AT22+AT23+AT24)</formula>
    </cfRule>
  </conditionalFormatting>
  <conditionalFormatting sqref="AL8 AN8">
    <cfRule type="cellIs" priority="10" dxfId="336" operator="lessThan" stopIfTrue="1">
      <formula>0.99*(AL9+AL10+AL11+AL12+AL14+AL15+AL16)</formula>
    </cfRule>
  </conditionalFormatting>
  <conditionalFormatting sqref="AP8 AR8">
    <cfRule type="cellIs" priority="9" dxfId="336" operator="lessThan" stopIfTrue="1">
      <formula>0.99*(AP9+AP10+AP11+AP12+AP14+AP15+AP16)</formula>
    </cfRule>
  </conditionalFormatting>
  <conditionalFormatting sqref="AT8 AV8">
    <cfRule type="cellIs" priority="8" dxfId="336" operator="lessThan" stopIfTrue="1">
      <formula>0.99*(AT9+AT10+AT11+AT12+AT14+AT15+AT16)</formula>
    </cfRule>
  </conditionalFormatting>
  <conditionalFormatting sqref="AJ8 AL8 AN8 AP8 AR8">
    <cfRule type="cellIs" priority="7" dxfId="336" operator="lessThan" stopIfTrue="1">
      <formula>0.99*(AJ9+AJ10+AJ11+AJ12+AJ14+AJ15+AJ16)</formula>
    </cfRule>
  </conditionalFormatting>
  <conditionalFormatting sqref="AJ17">
    <cfRule type="cellIs" priority="6" dxfId="336" operator="lessThan" stopIfTrue="1">
      <formula>0.99*(AJ18+AJ19+AJ20)</formula>
    </cfRule>
  </conditionalFormatting>
  <conditionalFormatting sqref="AN17">
    <cfRule type="cellIs" priority="5" dxfId="336" operator="lessThan" stopIfTrue="1">
      <formula>0.99*(AN18+AN19+AN20)</formula>
    </cfRule>
  </conditionalFormatting>
  <conditionalFormatting sqref="AT17 AV17">
    <cfRule type="cellIs" priority="4" dxfId="336" operator="lessThan" stopIfTrue="1">
      <formula>0.99*(AT18+AT19+AT20)</formula>
    </cfRule>
  </conditionalFormatting>
  <conditionalFormatting sqref="AL17">
    <cfRule type="cellIs" priority="3" dxfId="336" operator="lessThan" stopIfTrue="1">
      <formula>0.99*(AL18+AL19+AL20)</formula>
    </cfRule>
  </conditionalFormatting>
  <conditionalFormatting sqref="AP17">
    <cfRule type="cellIs" priority="2" dxfId="336" operator="lessThan" stopIfTrue="1">
      <formula>0.99*(AP18+AP19+AP20)</formula>
    </cfRule>
  </conditionalFormatting>
  <conditionalFormatting sqref="AR17">
    <cfRule type="cellIs" priority="1" dxfId="336" operator="lessThan" stopIfTrue="1">
      <formula>0.99*(AR18+AR19+AR20)</formula>
    </cfRule>
  </conditionalFormatting>
  <printOptions horizontalCentered="1"/>
  <pageMargins left="0.56" right="0.4" top="0.31" bottom="0.46" header="0.18" footer="0.25"/>
  <pageSetup fitToHeight="0" fitToWidth="1" horizontalDpi="600" verticalDpi="600" orientation="landscape" paperSize="9" scale="56"/>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6.5" style="162" hidden="1" customWidth="1"/>
    <col min="2" max="2" width="9.832031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8" customFormat="1" ht="1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7"/>
      <c r="AP1" s="507"/>
      <c r="AQ1" s="507"/>
      <c r="AR1" s="507"/>
      <c r="AS1" s="507"/>
      <c r="AT1" s="310"/>
      <c r="AU1" s="311"/>
      <c r="AV1" s="507"/>
      <c r="AW1" s="507"/>
      <c r="AX1" s="453"/>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6"/>
      <c r="AK2" s="323"/>
      <c r="AL2" s="318"/>
      <c r="AM2" s="323"/>
      <c r="AN2" s="318"/>
      <c r="AT2" s="318"/>
    </row>
    <row r="3" spans="1:102" s="335" customFormat="1" ht="17.25" customHeight="1">
      <c r="A3" s="262"/>
      <c r="B3" s="262">
        <v>454</v>
      </c>
      <c r="C3" s="319" t="s">
        <v>297</v>
      </c>
      <c r="D3" s="29" t="s">
        <v>407</v>
      </c>
      <c r="E3" s="399"/>
      <c r="F3" s="400"/>
      <c r="G3" s="401"/>
      <c r="H3" s="402"/>
      <c r="I3" s="403"/>
      <c r="J3" s="402"/>
      <c r="K3" s="403"/>
      <c r="L3" s="402"/>
      <c r="M3" s="403"/>
      <c r="N3" s="402"/>
      <c r="O3" s="403"/>
      <c r="P3" s="402"/>
      <c r="Q3" s="403"/>
      <c r="R3" s="402"/>
      <c r="S3" s="403"/>
      <c r="T3" s="402"/>
      <c r="U3" s="403"/>
      <c r="V3" s="402"/>
      <c r="W3" s="401"/>
      <c r="X3" s="402"/>
      <c r="Y3" s="401"/>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6" t="s">
        <v>49</v>
      </c>
      <c r="AZ3" s="410"/>
      <c r="BA3" s="333"/>
      <c r="BB3" s="411"/>
      <c r="BC3" s="411"/>
      <c r="BD3" s="454"/>
      <c r="BE3" s="454"/>
      <c r="BF3" s="454"/>
      <c r="BG3" s="454"/>
      <c r="BH3" s="412"/>
      <c r="BI3" s="412"/>
      <c r="BJ3" s="412"/>
      <c r="BK3" s="412"/>
      <c r="BL3" s="454"/>
      <c r="BM3" s="454"/>
      <c r="BN3" s="412"/>
      <c r="BO3" s="412"/>
      <c r="BP3" s="412"/>
      <c r="BQ3" s="412"/>
      <c r="BR3" s="412"/>
      <c r="BS3" s="412"/>
      <c r="BT3" s="413"/>
      <c r="BU3" s="413"/>
      <c r="BV3" s="333"/>
      <c r="BW3" s="333"/>
      <c r="BX3" s="333"/>
      <c r="BY3" s="333"/>
      <c r="BZ3" s="333"/>
      <c r="CA3" s="333"/>
      <c r="CB3" s="413"/>
      <c r="CC3" s="413"/>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5"/>
      <c r="D4" s="455"/>
      <c r="E4" s="371"/>
      <c r="F4" s="371"/>
      <c r="G4" s="371"/>
      <c r="H4" s="318"/>
      <c r="I4" s="323"/>
      <c r="J4" s="396"/>
      <c r="K4" s="323"/>
      <c r="L4" s="396"/>
      <c r="M4" s="323"/>
      <c r="N4" s="396"/>
      <c r="O4" s="323"/>
      <c r="P4" s="396"/>
      <c r="Q4" s="323"/>
      <c r="R4" s="396"/>
      <c r="S4" s="323"/>
      <c r="T4" s="396"/>
      <c r="U4" s="323"/>
      <c r="V4" s="396"/>
      <c r="W4" s="323"/>
      <c r="X4" s="318"/>
      <c r="Y4" s="323"/>
      <c r="Z4" s="318"/>
      <c r="AA4" s="323"/>
      <c r="AB4" s="318"/>
      <c r="AC4" s="323"/>
      <c r="AD4" s="318"/>
      <c r="AE4" s="323"/>
      <c r="AF4" s="318"/>
      <c r="AG4" s="323"/>
      <c r="AH4" s="318"/>
      <c r="AI4" s="323"/>
      <c r="AJ4" s="396"/>
      <c r="AK4" s="323"/>
      <c r="AL4" s="318"/>
      <c r="AM4" s="323"/>
      <c r="AN4" s="456"/>
      <c r="AT4" s="318"/>
      <c r="AY4" s="300"/>
    </row>
    <row r="5" spans="1:100" s="408" customFormat="1" ht="17.25" customHeight="1">
      <c r="A5" s="407"/>
      <c r="B5" s="163">
        <v>9</v>
      </c>
      <c r="C5" s="804" t="s">
        <v>124</v>
      </c>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287"/>
      <c r="AP5" s="287"/>
      <c r="AQ5" s="287"/>
      <c r="AR5" s="287"/>
      <c r="AS5" s="287"/>
      <c r="AT5" s="338"/>
      <c r="AU5" s="337"/>
      <c r="AV5" s="287"/>
      <c r="AW5" s="287"/>
      <c r="AX5" s="414"/>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1" customFormat="1" ht="36" customHeight="1">
      <c r="A8" s="365" t="s">
        <v>65</v>
      </c>
      <c r="B8" s="219">
        <v>163</v>
      </c>
      <c r="C8" s="422">
        <v>1</v>
      </c>
      <c r="D8" s="508" t="s">
        <v>8</v>
      </c>
      <c r="E8" s="222" t="s">
        <v>262</v>
      </c>
      <c r="F8" s="547"/>
      <c r="G8" s="559"/>
      <c r="H8" s="547"/>
      <c r="I8" s="559"/>
      <c r="J8" s="547"/>
      <c r="K8" s="559"/>
      <c r="L8" s="547"/>
      <c r="M8" s="559"/>
      <c r="N8" s="547"/>
      <c r="O8" s="559"/>
      <c r="P8" s="547"/>
      <c r="Q8" s="559"/>
      <c r="R8" s="547"/>
      <c r="S8" s="559"/>
      <c r="T8" s="547"/>
      <c r="U8" s="559"/>
      <c r="V8" s="547"/>
      <c r="W8" s="559"/>
      <c r="X8" s="547"/>
      <c r="Y8" s="559"/>
      <c r="Z8" s="547"/>
      <c r="AA8" s="559"/>
      <c r="AB8" s="547"/>
      <c r="AC8" s="559"/>
      <c r="AD8" s="547"/>
      <c r="AE8" s="559"/>
      <c r="AF8" s="547"/>
      <c r="AG8" s="559"/>
      <c r="AH8" s="547"/>
      <c r="AI8" s="559"/>
      <c r="AJ8" s="547">
        <v>16</v>
      </c>
      <c r="AK8" s="559" t="s">
        <v>649</v>
      </c>
      <c r="AL8" s="547">
        <v>16</v>
      </c>
      <c r="AM8" s="559" t="s">
        <v>649</v>
      </c>
      <c r="AN8" s="547">
        <v>16</v>
      </c>
      <c r="AO8" s="559" t="s">
        <v>649</v>
      </c>
      <c r="AP8" s="547">
        <v>16</v>
      </c>
      <c r="AQ8" s="559" t="s">
        <v>649</v>
      </c>
      <c r="AR8" s="547">
        <v>16</v>
      </c>
      <c r="AS8" s="559" t="s">
        <v>649</v>
      </c>
      <c r="AT8" s="547">
        <v>16</v>
      </c>
      <c r="AU8" s="559" t="s">
        <v>649</v>
      </c>
      <c r="AV8" s="547">
        <v>16</v>
      </c>
      <c r="AW8" s="559" t="s">
        <v>649</v>
      </c>
      <c r="AY8" s="374">
        <v>1</v>
      </c>
      <c r="AZ8" s="509" t="s">
        <v>8</v>
      </c>
      <c r="BA8" s="96" t="s">
        <v>262</v>
      </c>
      <c r="BB8" s="96" t="s">
        <v>82</v>
      </c>
      <c r="BC8" s="577"/>
      <c r="BD8" s="79" t="str">
        <f>IF(OR(ISBLANK(F8),ISBLANK(H8)),"N/A",IF(ABS(H8-F8)&gt;100,"&gt; 100%","ok"))</f>
        <v>N/A</v>
      </c>
      <c r="BE8" s="57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ok</v>
      </c>
      <c r="CI8" s="79"/>
      <c r="CJ8" s="79" t="str">
        <f>IF(OR(ISBLANK(AL8),ISBLANK(AN8)),"N/A",IF(ABS(AN8-AL8)&gt;25,"&gt; 25%","ok"))</f>
        <v>ok</v>
      </c>
      <c r="CK8" s="79"/>
      <c r="CL8" s="79" t="str">
        <f>IF(OR(ISBLANK(AN8),ISBLANK(AP8)),"N/A",IF(ABS(AP8-AN8)&gt;25,"&gt; 25%","ok"))</f>
        <v>ok</v>
      </c>
      <c r="CM8" s="79"/>
      <c r="CN8" s="79" t="str">
        <f>IF(OR(ISBLANK(AP8),ISBLANK(AR8)),"N/A",IF(ABS(AR8-AP8)&gt;25,"&gt; 25%","ok"))</f>
        <v>ok</v>
      </c>
      <c r="CO8" s="79"/>
      <c r="CP8" s="79" t="str">
        <f>IF(OR(ISBLANK(AR8),ISBLANK(AT8)),"N/A",IF(ABS(AT8-AR8)&gt;25,"&gt; 25%","ok"))</f>
        <v>ok</v>
      </c>
      <c r="CQ8" s="79"/>
      <c r="CR8" s="79" t="str">
        <f>IF(OR(ISBLANK(AT8),ISBLANK(AV8)),"N/A",IF(ABS(AV8-AT8)&gt;25,"&gt; 25%","ok"))</f>
        <v>ok</v>
      </c>
      <c r="CS8" s="79"/>
      <c r="CT8" s="79"/>
      <c r="CU8" s="79"/>
      <c r="CV8" s="79"/>
    </row>
    <row r="9" spans="1:100" ht="36" customHeight="1">
      <c r="A9" s="162" t="s">
        <v>65</v>
      </c>
      <c r="B9" s="219">
        <v>164</v>
      </c>
      <c r="C9" s="354">
        <v>2</v>
      </c>
      <c r="D9" s="510" t="s">
        <v>9</v>
      </c>
      <c r="E9" s="222" t="s">
        <v>262</v>
      </c>
      <c r="F9" s="547"/>
      <c r="G9" s="559"/>
      <c r="H9" s="547"/>
      <c r="I9" s="559"/>
      <c r="J9" s="547"/>
      <c r="K9" s="559"/>
      <c r="L9" s="547"/>
      <c r="M9" s="559"/>
      <c r="N9" s="547"/>
      <c r="O9" s="559"/>
      <c r="P9" s="547"/>
      <c r="Q9" s="559"/>
      <c r="R9" s="547"/>
      <c r="S9" s="559"/>
      <c r="T9" s="547"/>
      <c r="U9" s="559"/>
      <c r="V9" s="547"/>
      <c r="W9" s="559"/>
      <c r="X9" s="547"/>
      <c r="Y9" s="559"/>
      <c r="Z9" s="547"/>
      <c r="AA9" s="559"/>
      <c r="AB9" s="547"/>
      <c r="AC9" s="559"/>
      <c r="AD9" s="547"/>
      <c r="AE9" s="559"/>
      <c r="AF9" s="547"/>
      <c r="AG9" s="559"/>
      <c r="AH9" s="547"/>
      <c r="AI9" s="559"/>
      <c r="AJ9" s="547">
        <v>16</v>
      </c>
      <c r="AK9" s="559" t="s">
        <v>649</v>
      </c>
      <c r="AL9" s="547">
        <v>16</v>
      </c>
      <c r="AM9" s="559" t="s">
        <v>649</v>
      </c>
      <c r="AN9" s="547">
        <v>16</v>
      </c>
      <c r="AO9" s="559" t="s">
        <v>649</v>
      </c>
      <c r="AP9" s="547">
        <v>16</v>
      </c>
      <c r="AQ9" s="559" t="s">
        <v>649</v>
      </c>
      <c r="AR9" s="547">
        <v>16</v>
      </c>
      <c r="AS9" s="559" t="s">
        <v>649</v>
      </c>
      <c r="AT9" s="547">
        <v>16</v>
      </c>
      <c r="AU9" s="559" t="s">
        <v>649</v>
      </c>
      <c r="AV9" s="547">
        <v>16</v>
      </c>
      <c r="AW9" s="559" t="s">
        <v>649</v>
      </c>
      <c r="AY9" s="358">
        <v>2</v>
      </c>
      <c r="AZ9" s="511" t="s">
        <v>9</v>
      </c>
      <c r="BA9" s="96" t="s">
        <v>262</v>
      </c>
      <c r="BB9" s="96" t="s">
        <v>82</v>
      </c>
      <c r="BC9" s="577"/>
      <c r="BD9" s="79" t="str">
        <f>IF(OR(ISBLANK(F9),ISBLANK(H9)),"N/A",IF(ABS(H9-F9)&gt;100,"&gt; 100%","ok"))</f>
        <v>N/A</v>
      </c>
      <c r="BE9" s="57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ok</v>
      </c>
      <c r="CI9" s="79"/>
      <c r="CJ9" s="79" t="str">
        <f>IF(OR(ISBLANK(AL9),ISBLANK(AN9)),"N/A",IF(ABS(AN9-AL9)&gt;25,"&gt; 25%","ok"))</f>
        <v>ok</v>
      </c>
      <c r="CK9" s="79"/>
      <c r="CL9" s="79" t="str">
        <f>IF(OR(ISBLANK(AN9),ISBLANK(AP9)),"N/A",IF(ABS(AP9-AN9)&gt;25,"&gt; 25%","ok"))</f>
        <v>ok</v>
      </c>
      <c r="CM9" s="79"/>
      <c r="CN9" s="79" t="str">
        <f>IF(OR(ISBLANK(AP9),ISBLANK(AR9)),"N/A",IF(ABS(AR9-AP9)&gt;25,"&gt; 25%","ok"))</f>
        <v>ok</v>
      </c>
      <c r="CO9" s="79"/>
      <c r="CP9" s="79" t="str">
        <f>IF(OR(ISBLANK(AR9),ISBLANK(AT9)),"N/A",IF(ABS(AT9-AR9)&gt;25,"&gt; 25%","ok"))</f>
        <v>ok</v>
      </c>
      <c r="CQ9" s="79"/>
      <c r="CR9" s="79" t="str">
        <f>IF(OR(ISBLANK(AT9),ISBLANK(AV9)),"N/A",IF(ABS(AV9-AT9)&gt;25,"&gt; 25%","ok"))</f>
        <v>ok</v>
      </c>
      <c r="CS9" s="79"/>
      <c r="CT9" s="79"/>
      <c r="CU9" s="79"/>
      <c r="CV9" s="79"/>
    </row>
    <row r="10" spans="2:100" ht="36" customHeight="1">
      <c r="B10" s="219">
        <v>296</v>
      </c>
      <c r="C10" s="222">
        <v>3</v>
      </c>
      <c r="D10" s="512" t="s">
        <v>496</v>
      </c>
      <c r="E10" s="222" t="s">
        <v>262</v>
      </c>
      <c r="F10" s="545"/>
      <c r="G10" s="556"/>
      <c r="H10" s="545"/>
      <c r="I10" s="556"/>
      <c r="J10" s="545"/>
      <c r="K10" s="556"/>
      <c r="L10" s="545"/>
      <c r="M10" s="556"/>
      <c r="N10" s="545"/>
      <c r="O10" s="556"/>
      <c r="P10" s="545"/>
      <c r="Q10" s="556"/>
      <c r="R10" s="545"/>
      <c r="S10" s="556"/>
      <c r="T10" s="545"/>
      <c r="U10" s="556"/>
      <c r="V10" s="545"/>
      <c r="W10" s="556"/>
      <c r="X10" s="545"/>
      <c r="Y10" s="556"/>
      <c r="Z10" s="545"/>
      <c r="AA10" s="556"/>
      <c r="AB10" s="545"/>
      <c r="AC10" s="556"/>
      <c r="AD10" s="545"/>
      <c r="AE10" s="556"/>
      <c r="AF10" s="545"/>
      <c r="AG10" s="556"/>
      <c r="AH10" s="545"/>
      <c r="AI10" s="556"/>
      <c r="AJ10" s="545"/>
      <c r="AK10" s="556"/>
      <c r="AL10" s="545"/>
      <c r="AM10" s="556"/>
      <c r="AN10" s="545"/>
      <c r="AO10" s="556"/>
      <c r="AP10" s="545"/>
      <c r="AQ10" s="556"/>
      <c r="AR10" s="545"/>
      <c r="AS10" s="556"/>
      <c r="AT10" s="545"/>
      <c r="AU10" s="556"/>
      <c r="AV10" s="545"/>
      <c r="AW10" s="556"/>
      <c r="AY10" s="96">
        <v>3</v>
      </c>
      <c r="AZ10" s="513" t="s">
        <v>496</v>
      </c>
      <c r="BA10" s="96" t="s">
        <v>262</v>
      </c>
      <c r="BB10" s="81" t="s">
        <v>82</v>
      </c>
      <c r="BC10" s="578"/>
      <c r="BD10" s="79" t="str">
        <f>IF(OR(ISBLANK(F10),ISBLANK(H10)),"N/A",IF(ABS(H10-F10)&gt;100,"&gt; 100%","ok"))</f>
        <v>N/A</v>
      </c>
      <c r="BE10" s="57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45"/>
      <c r="G11" s="556"/>
      <c r="H11" s="545"/>
      <c r="I11" s="556"/>
      <c r="J11" s="545"/>
      <c r="K11" s="556"/>
      <c r="L11" s="545"/>
      <c r="M11" s="556"/>
      <c r="N11" s="545"/>
      <c r="O11" s="556"/>
      <c r="P11" s="545"/>
      <c r="Q11" s="556"/>
      <c r="R11" s="545"/>
      <c r="S11" s="556"/>
      <c r="T11" s="545"/>
      <c r="U11" s="556"/>
      <c r="V11" s="545"/>
      <c r="W11" s="556"/>
      <c r="X11" s="545"/>
      <c r="Y11" s="556"/>
      <c r="Z11" s="545"/>
      <c r="AA11" s="556"/>
      <c r="AB11" s="545"/>
      <c r="AC11" s="556"/>
      <c r="AD11" s="545"/>
      <c r="AE11" s="556"/>
      <c r="AF11" s="545"/>
      <c r="AG11" s="556"/>
      <c r="AH11" s="545"/>
      <c r="AI11" s="556"/>
      <c r="AJ11" s="545">
        <v>25</v>
      </c>
      <c r="AK11" s="556" t="s">
        <v>649</v>
      </c>
      <c r="AL11" s="545">
        <v>25</v>
      </c>
      <c r="AM11" s="556" t="s">
        <v>649</v>
      </c>
      <c r="AN11" s="545">
        <v>25</v>
      </c>
      <c r="AO11" s="556" t="s">
        <v>649</v>
      </c>
      <c r="AP11" s="545">
        <v>25</v>
      </c>
      <c r="AQ11" s="556" t="s">
        <v>649</v>
      </c>
      <c r="AR11" s="545">
        <v>25</v>
      </c>
      <c r="AS11" s="556" t="s">
        <v>649</v>
      </c>
      <c r="AT11" s="545">
        <v>25</v>
      </c>
      <c r="AU11" s="556" t="s">
        <v>649</v>
      </c>
      <c r="AV11" s="545">
        <v>25</v>
      </c>
      <c r="AW11" s="556" t="s">
        <v>649</v>
      </c>
      <c r="AY11" s="81">
        <v>4</v>
      </c>
      <c r="AZ11" s="246" t="s">
        <v>2</v>
      </c>
      <c r="BA11" s="96" t="s">
        <v>262</v>
      </c>
      <c r="BB11" s="81" t="s">
        <v>82</v>
      </c>
      <c r="BC11" s="578"/>
      <c r="BD11" s="79" t="str">
        <f>IF(OR(ISBLANK(F11),ISBLANK(H11)),"N/A",IF(ABS(H11-F11)&gt;100,"&gt; 100%","ok"))</f>
        <v>N/A</v>
      </c>
      <c r="BE11" s="57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ok</v>
      </c>
      <c r="CI11" s="79"/>
      <c r="CJ11" s="79" t="str">
        <f>IF(OR(ISBLANK(AL11),ISBLANK(AN11)),"N/A",IF(ABS(AN11-AL11)&gt;25,"&gt; 25%","ok"))</f>
        <v>ok</v>
      </c>
      <c r="CK11" s="79"/>
      <c r="CL11" s="79" t="str">
        <f>IF(OR(ISBLANK(AN11),ISBLANK(AP11)),"N/A",IF(ABS(AP11-AN11)&gt;25,"&gt; 25%","ok"))</f>
        <v>ok</v>
      </c>
      <c r="CM11" s="79"/>
      <c r="CN11" s="79" t="str">
        <f>IF(OR(ISBLANK(AP11),ISBLANK(AR11)),"N/A",IF(ABS(AR11-AP11)&gt;25,"&gt; 25%","ok"))</f>
        <v>ok</v>
      </c>
      <c r="CO11" s="79"/>
      <c r="CP11" s="79" t="str">
        <f>IF(OR(ISBLANK(AR11),ISBLANK(AT11)),"N/A",IF(ABS(AT11-AR11)&gt;25,"&gt; 25%","ok"))</f>
        <v>ok</v>
      </c>
      <c r="CQ11" s="79"/>
      <c r="CR11" s="79" t="str">
        <f>IF(OR(ISBLANK(AT11),ISBLANK(AV11)),"N/A",IF(ABS(AV11-AT11)&gt;25,"&gt; 25%","ok"))</f>
        <v>ok</v>
      </c>
      <c r="CS11" s="79"/>
      <c r="CT11" s="79"/>
      <c r="CU11" s="79"/>
      <c r="CV11" s="79"/>
    </row>
    <row r="12" spans="2:100" ht="36" customHeight="1">
      <c r="B12" s="219">
        <v>298</v>
      </c>
      <c r="C12" s="369">
        <v>5</v>
      </c>
      <c r="D12" s="249" t="s">
        <v>64</v>
      </c>
      <c r="E12" s="369" t="s">
        <v>262</v>
      </c>
      <c r="F12" s="549"/>
      <c r="G12" s="562"/>
      <c r="H12" s="549"/>
      <c r="I12" s="562"/>
      <c r="J12" s="549"/>
      <c r="K12" s="562"/>
      <c r="L12" s="549"/>
      <c r="M12" s="562"/>
      <c r="N12" s="549"/>
      <c r="O12" s="562"/>
      <c r="P12" s="549"/>
      <c r="Q12" s="562"/>
      <c r="R12" s="549"/>
      <c r="S12" s="562"/>
      <c r="T12" s="549"/>
      <c r="U12" s="562"/>
      <c r="V12" s="549"/>
      <c r="W12" s="562"/>
      <c r="X12" s="549"/>
      <c r="Y12" s="562"/>
      <c r="Z12" s="549"/>
      <c r="AA12" s="562"/>
      <c r="AB12" s="549"/>
      <c r="AC12" s="562"/>
      <c r="AD12" s="549"/>
      <c r="AE12" s="562"/>
      <c r="AF12" s="549"/>
      <c r="AG12" s="562"/>
      <c r="AH12" s="549"/>
      <c r="AI12" s="562"/>
      <c r="AJ12" s="549">
        <v>59</v>
      </c>
      <c r="AK12" s="562" t="s">
        <v>649</v>
      </c>
      <c r="AL12" s="549">
        <v>59</v>
      </c>
      <c r="AM12" s="562" t="s">
        <v>649</v>
      </c>
      <c r="AN12" s="549">
        <v>59</v>
      </c>
      <c r="AO12" s="562" t="s">
        <v>649</v>
      </c>
      <c r="AP12" s="549">
        <v>59</v>
      </c>
      <c r="AQ12" s="562" t="s">
        <v>649</v>
      </c>
      <c r="AR12" s="549">
        <v>59</v>
      </c>
      <c r="AS12" s="562" t="s">
        <v>649</v>
      </c>
      <c r="AT12" s="549">
        <v>59</v>
      </c>
      <c r="AU12" s="562" t="s">
        <v>649</v>
      </c>
      <c r="AV12" s="549">
        <v>59</v>
      </c>
      <c r="AW12" s="562" t="s">
        <v>649</v>
      </c>
      <c r="AY12" s="94">
        <v>5</v>
      </c>
      <c r="AZ12" s="432" t="s">
        <v>64</v>
      </c>
      <c r="BA12" s="94" t="s">
        <v>262</v>
      </c>
      <c r="BB12" s="94" t="s">
        <v>82</v>
      </c>
      <c r="BC12" s="580"/>
      <c r="BD12" s="94" t="str">
        <f>IF(OR(ISBLANK(F12),ISBLANK(H12)),"N/A",IF(ABS(H12-F12)&gt;100,"&gt; 100%","ok"))</f>
        <v>N/A</v>
      </c>
      <c r="BE12" s="58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ok</v>
      </c>
      <c r="CI12" s="80"/>
      <c r="CJ12" s="80" t="str">
        <f>IF(OR(ISBLANK(AL12),ISBLANK(AN12)),"N/A",IF(ABS(AN12-AL12)&gt;25,"&gt; 25%","ok"))</f>
        <v>ok</v>
      </c>
      <c r="CK12" s="80"/>
      <c r="CL12" s="80" t="str">
        <f>IF(OR(ISBLANK(AN12),ISBLANK(AP12)),"N/A",IF(ABS(AP12-AN12)&gt;25,"&gt; 25%","ok"))</f>
        <v>ok</v>
      </c>
      <c r="CM12" s="80"/>
      <c r="CN12" s="80" t="str">
        <f>IF(OR(ISBLANK(AP12),ISBLANK(AR12)),"N/A",IF(ABS(AR12-AP12)&gt;25,"&gt; 25%","ok"))</f>
        <v>ok</v>
      </c>
      <c r="CO12" s="80"/>
      <c r="CP12" s="80" t="str">
        <f>IF(OR(ISBLANK(AR12),ISBLANK(AT12)),"N/A",IF(ABS(AT12-AR12)&gt;25,"&gt; 25%","ok"))</f>
        <v>ok</v>
      </c>
      <c r="CQ12" s="80"/>
      <c r="CR12" s="80" t="str">
        <f>IF(OR(ISBLANK(AT12),ISBLANK(AV12)),"N/A",IF(ABS(AV12-AT12)&gt;25,"&gt; 25%","ok"))</f>
        <v>ok</v>
      </c>
      <c r="CS12" s="80"/>
      <c r="CT12" s="80"/>
      <c r="CU12" s="80"/>
      <c r="CV12" s="80"/>
    </row>
    <row r="13" spans="3:40" ht="5.25" customHeight="1">
      <c r="C13" s="471"/>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4"/>
      <c r="F14" s="336"/>
      <c r="G14" s="336"/>
      <c r="AY14" s="346" t="s">
        <v>45</v>
      </c>
    </row>
    <row r="15" spans="1:114" ht="15.75" customHeight="1">
      <c r="A15" s="262"/>
      <c r="B15" s="262"/>
      <c r="C15" s="260" t="s">
        <v>142</v>
      </c>
      <c r="D15" s="794" t="s">
        <v>143</v>
      </c>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4"/>
      <c r="AY15" s="215" t="s">
        <v>287</v>
      </c>
      <c r="AZ15" s="215" t="s">
        <v>288</v>
      </c>
      <c r="BA15" s="215" t="s">
        <v>291</v>
      </c>
      <c r="BB15" s="583">
        <v>1990</v>
      </c>
      <c r="BC15" s="584"/>
      <c r="BD15" s="583">
        <v>1995</v>
      </c>
      <c r="BE15" s="584"/>
      <c r="BF15" s="583">
        <v>2000</v>
      </c>
      <c r="BG15" s="584"/>
      <c r="BH15" s="583">
        <v>2001</v>
      </c>
      <c r="BI15" s="584"/>
      <c r="BJ15" s="583">
        <v>2002</v>
      </c>
      <c r="BK15" s="584"/>
      <c r="BL15" s="583">
        <v>2003</v>
      </c>
      <c r="BM15" s="584"/>
      <c r="BN15" s="583">
        <v>2004</v>
      </c>
      <c r="BO15" s="584"/>
      <c r="BP15" s="583">
        <v>2005</v>
      </c>
      <c r="BQ15" s="584"/>
      <c r="BR15" s="583">
        <v>2006</v>
      </c>
      <c r="BS15" s="584"/>
      <c r="BT15" s="583">
        <v>2007</v>
      </c>
      <c r="BU15" s="584"/>
      <c r="BV15" s="583">
        <v>2008</v>
      </c>
      <c r="BW15" s="584"/>
      <c r="BX15" s="583">
        <v>2009</v>
      </c>
      <c r="BY15" s="584"/>
      <c r="BZ15" s="583">
        <v>2010</v>
      </c>
      <c r="CA15" s="584"/>
      <c r="CB15" s="583">
        <v>2011</v>
      </c>
      <c r="CC15" s="585"/>
      <c r="CD15" s="583">
        <v>2012</v>
      </c>
      <c r="CE15" s="584"/>
      <c r="CF15" s="583">
        <v>2013</v>
      </c>
      <c r="CG15" s="584"/>
      <c r="CH15" s="583">
        <v>2014</v>
      </c>
      <c r="CI15" s="585"/>
      <c r="CJ15" s="583">
        <v>2015</v>
      </c>
      <c r="CK15" s="584"/>
      <c r="CL15" s="215">
        <v>2016</v>
      </c>
      <c r="CM15" s="215"/>
      <c r="CN15" s="215">
        <v>2017</v>
      </c>
      <c r="CO15" s="215"/>
      <c r="CP15" s="215">
        <v>2018</v>
      </c>
      <c r="CQ15" s="215"/>
      <c r="CR15" s="215">
        <v>2019</v>
      </c>
      <c r="CS15" s="584"/>
      <c r="CT15" s="583"/>
      <c r="CU15" s="585"/>
      <c r="CV15" s="58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8" t="s">
        <v>110</v>
      </c>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374">
        <v>1</v>
      </c>
      <c r="AZ16" s="509"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77"/>
      <c r="CF16" s="96">
        <f>AJ8</f>
        <v>16</v>
      </c>
      <c r="CG16" s="96"/>
      <c r="CH16" s="96">
        <f>AL8</f>
        <v>16</v>
      </c>
      <c r="CI16" s="96"/>
      <c r="CJ16" s="96">
        <f>AN8</f>
        <v>16</v>
      </c>
      <c r="CK16" s="96"/>
      <c r="CL16" s="96">
        <f>AP8</f>
        <v>16</v>
      </c>
      <c r="CM16" s="577"/>
      <c r="CN16" s="96">
        <f>AR8</f>
        <v>16</v>
      </c>
      <c r="CO16" s="96"/>
      <c r="CP16" s="96">
        <f>AT8</f>
        <v>16</v>
      </c>
      <c r="CQ16" s="96"/>
      <c r="CR16" s="96">
        <f>AV8</f>
        <v>16</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c r="AL17" s="813"/>
      <c r="AM17" s="813"/>
      <c r="AN17" s="813"/>
      <c r="AO17" s="813"/>
      <c r="AP17" s="813"/>
      <c r="AQ17" s="813"/>
      <c r="AR17" s="813"/>
      <c r="AS17" s="813"/>
      <c r="AT17" s="813"/>
      <c r="AU17" s="813"/>
      <c r="AV17" s="813"/>
      <c r="AW17" s="813"/>
      <c r="AX17" s="813"/>
      <c r="AY17" s="358">
        <v>2</v>
      </c>
      <c r="AZ17" s="511"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77"/>
      <c r="CF17" s="96">
        <f>AJ9</f>
        <v>16</v>
      </c>
      <c r="CG17" s="96"/>
      <c r="CH17" s="96">
        <f>AL9</f>
        <v>16</v>
      </c>
      <c r="CI17" s="96"/>
      <c r="CJ17" s="96">
        <f>AN9</f>
        <v>16</v>
      </c>
      <c r="CK17" s="96"/>
      <c r="CL17" s="96">
        <f>AP9</f>
        <v>16</v>
      </c>
      <c r="CM17" s="577"/>
      <c r="CN17" s="96">
        <f>AR9</f>
        <v>16</v>
      </c>
      <c r="CO17" s="96"/>
      <c r="CP17" s="96">
        <f>AT9</f>
        <v>16</v>
      </c>
      <c r="CQ17" s="96"/>
      <c r="CR17" s="96">
        <f>AV9</f>
        <v>16</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77"/>
      <c r="CF18" s="96" t="str">
        <f>IF(OR(ISBLANK(AJ8),ISBLANK(AJ9)),"N/A",IF(CF16&gt;=CF17,"ok","&lt;&gt;"))</f>
        <v>ok</v>
      </c>
      <c r="CG18" s="96"/>
      <c r="CH18" s="96" t="str">
        <f>IF(OR(ISBLANK(AL8),ISBLANK(AL9)),"N/A",IF(CH16&gt;=CH17,"ok","&lt;&gt;"))</f>
        <v>ok</v>
      </c>
      <c r="CI18" s="96"/>
      <c r="CJ18" s="96" t="str">
        <f>IF(OR(ISBLANK(AN8),ISBLANK(AN9)),"N/A",IF(CJ16&gt;=CJ17,"ok","&lt;&gt;"))</f>
        <v>ok</v>
      </c>
      <c r="CK18" s="96"/>
      <c r="CL18" s="96" t="str">
        <f>IF(OR(ISBLANK(AP8),ISBLANK(AP9)),"N/A",IF(CL16&gt;=CL17,"ok","&lt;&gt;"))</f>
        <v>ok</v>
      </c>
      <c r="CM18" s="577"/>
      <c r="CN18" s="96" t="str">
        <f>IF(OR(ISBLANK(AR8),ISBLANK(AR9)),"N/A",IF(CN16&gt;=CN17,"ok","&lt;&gt;"))</f>
        <v>ok</v>
      </c>
      <c r="CO18" s="96"/>
      <c r="CP18" s="96" t="str">
        <f>IF(OR(ISBLANK(AT8),ISBLANK(AT9)),"N/A",IF(CP16&gt;=CP17,"ok","&lt;&gt;"))</f>
        <v>ok</v>
      </c>
      <c r="CQ18" s="96"/>
      <c r="CR18" s="96" t="str">
        <f>IF(OR(ISBLANK(AV8),ISBLANK(AV9)),"N/A",IF(CR16&gt;=CR17,"ok","&lt;&gt;"))</f>
        <v>ok</v>
      </c>
      <c r="CS18" s="96"/>
      <c r="CT18" s="96"/>
      <c r="CU18" s="96"/>
      <c r="CV18" s="96"/>
    </row>
    <row r="19" spans="1:100" s="408" customFormat="1" ht="22.5">
      <c r="A19" s="407"/>
      <c r="B19" s="394">
        <v>1</v>
      </c>
      <c r="C19" s="283" t="s">
        <v>298</v>
      </c>
      <c r="D19" s="376"/>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7"/>
      <c r="AH19" s="286"/>
      <c r="AI19" s="287"/>
      <c r="AJ19" s="288"/>
      <c r="AK19" s="287"/>
      <c r="AL19" s="286"/>
      <c r="AM19" s="287"/>
      <c r="AN19" s="286"/>
      <c r="AO19" s="287"/>
      <c r="AP19" s="287"/>
      <c r="AQ19" s="287"/>
      <c r="AR19" s="287"/>
      <c r="AS19" s="287"/>
      <c r="AT19" s="338"/>
      <c r="AU19" s="337"/>
      <c r="AV19" s="287"/>
      <c r="AW19" s="287"/>
      <c r="AX19" s="414"/>
      <c r="AY19" s="96">
        <v>3</v>
      </c>
      <c r="AZ19" s="513" t="s">
        <v>496</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77"/>
      <c r="CF19" s="96">
        <f>AJ10</f>
        <v>0</v>
      </c>
      <c r="CG19" s="96"/>
      <c r="CH19" s="96">
        <f>AL10</f>
        <v>0</v>
      </c>
      <c r="CI19" s="96"/>
      <c r="CJ19" s="96">
        <f>AN10</f>
        <v>0</v>
      </c>
      <c r="CK19" s="96"/>
      <c r="CL19" s="96">
        <f>AP10</f>
        <v>0</v>
      </c>
      <c r="CM19" s="577"/>
      <c r="CN19" s="96">
        <f>AR10</f>
        <v>0</v>
      </c>
      <c r="CO19" s="96"/>
      <c r="CP19" s="96">
        <f>AT10</f>
        <v>0</v>
      </c>
      <c r="CQ19" s="96"/>
      <c r="CR19" s="96">
        <f>AV10</f>
        <v>0</v>
      </c>
      <c r="CS19" s="96"/>
      <c r="CT19" s="96"/>
      <c r="CU19" s="96"/>
      <c r="CV19" s="96"/>
    </row>
    <row r="20" spans="3:100" ht="2.25" customHeight="1">
      <c r="C20" s="378"/>
      <c r="D20" s="378"/>
      <c r="E20" s="379"/>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80"/>
      <c r="AH20" s="320"/>
      <c r="AI20" s="321"/>
      <c r="AJ20" s="322"/>
      <c r="AK20" s="321"/>
      <c r="AL20" s="320"/>
      <c r="AM20" s="323"/>
      <c r="AN20" s="318"/>
      <c r="AO20" s="323"/>
      <c r="AP20" s="323"/>
      <c r="AQ20" s="323"/>
      <c r="AR20" s="323"/>
      <c r="AS20" s="323"/>
      <c r="AV20" s="323"/>
      <c r="AW20" s="323"/>
      <c r="AY20" s="358"/>
      <c r="AZ20" s="514"/>
      <c r="BA20" s="96"/>
      <c r="BB20" s="96"/>
      <c r="BC20" s="577"/>
      <c r="BD20" s="79"/>
      <c r="BE20" s="577"/>
      <c r="BF20" s="79"/>
      <c r="BG20" s="577"/>
      <c r="BH20" s="79"/>
      <c r="BI20" s="577"/>
      <c r="BJ20" s="96"/>
      <c r="BK20" s="577"/>
      <c r="BL20" s="96"/>
      <c r="BM20" s="577"/>
      <c r="BN20" s="96"/>
      <c r="BO20" s="577"/>
      <c r="BP20" s="96"/>
      <c r="BQ20" s="577"/>
      <c r="BR20" s="96"/>
      <c r="BS20" s="577"/>
      <c r="BT20" s="96"/>
      <c r="BU20" s="577"/>
      <c r="BV20" s="79"/>
      <c r="BW20" s="577"/>
      <c r="BX20" s="96"/>
      <c r="BY20" s="577"/>
      <c r="BZ20" s="96"/>
      <c r="CA20" s="577"/>
      <c r="CB20" s="96"/>
      <c r="CC20" s="577"/>
      <c r="CD20" s="96"/>
      <c r="CE20" s="577"/>
      <c r="CF20" s="96"/>
      <c r="CG20" s="577"/>
      <c r="CH20" s="96"/>
      <c r="CI20" s="577"/>
      <c r="CJ20" s="96"/>
      <c r="CK20" s="577"/>
      <c r="CL20" s="96"/>
      <c r="CM20" s="577"/>
      <c r="CN20" s="96"/>
      <c r="CO20" s="577"/>
      <c r="CP20" s="96"/>
      <c r="CQ20" s="577"/>
      <c r="CR20" s="96"/>
      <c r="CS20" s="577"/>
      <c r="CT20" s="96"/>
      <c r="CU20" s="577"/>
      <c r="CV20" s="96"/>
    </row>
    <row r="21" spans="3:100" ht="18" customHeight="1">
      <c r="C21" s="294" t="s">
        <v>293</v>
      </c>
      <c r="D21" s="448" t="s">
        <v>296</v>
      </c>
      <c r="E21" s="381"/>
      <c r="F21" s="382"/>
      <c r="G21" s="382"/>
      <c r="H21" s="383"/>
      <c r="I21" s="384"/>
      <c r="J21" s="385"/>
      <c r="K21" s="384"/>
      <c r="L21" s="385"/>
      <c r="M21" s="384"/>
      <c r="N21" s="385"/>
      <c r="O21" s="384"/>
      <c r="P21" s="385"/>
      <c r="Q21" s="384"/>
      <c r="R21" s="385"/>
      <c r="S21" s="384"/>
      <c r="T21" s="385"/>
      <c r="U21" s="384"/>
      <c r="V21" s="385"/>
      <c r="W21" s="384"/>
      <c r="X21" s="383"/>
      <c r="Y21" s="384"/>
      <c r="Z21" s="383"/>
      <c r="AA21" s="384"/>
      <c r="AB21" s="383"/>
      <c r="AC21" s="384"/>
      <c r="AD21" s="383"/>
      <c r="AE21" s="384"/>
      <c r="AF21" s="383"/>
      <c r="AG21" s="386"/>
      <c r="AH21" s="383"/>
      <c r="AI21" s="384"/>
      <c r="AJ21" s="385"/>
      <c r="AK21" s="384"/>
      <c r="AL21" s="383"/>
      <c r="AM21" s="384"/>
      <c r="AN21" s="383"/>
      <c r="AO21" s="384"/>
      <c r="AP21" s="384"/>
      <c r="AQ21" s="384"/>
      <c r="AR21" s="384"/>
      <c r="AS21" s="384"/>
      <c r="AT21" s="383"/>
      <c r="AU21" s="384"/>
      <c r="AV21" s="384"/>
      <c r="AW21" s="384"/>
      <c r="AX21" s="449"/>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77"/>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77"/>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1:100" ht="18" customHeight="1">
      <c r="A22" s="162">
        <v>1</v>
      </c>
      <c r="B22" s="163">
        <v>-1</v>
      </c>
      <c r="C22" s="515" t="s">
        <v>649</v>
      </c>
      <c r="D22" s="795" t="s">
        <v>650</v>
      </c>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77"/>
      <c r="CF22" s="96">
        <f>AJ12</f>
        <v>59</v>
      </c>
      <c r="CG22" s="96"/>
      <c r="CH22" s="96">
        <f>AL12</f>
        <v>59</v>
      </c>
      <c r="CI22" s="96"/>
      <c r="CJ22" s="96">
        <f>AN12</f>
        <v>59</v>
      </c>
      <c r="CK22" s="96"/>
      <c r="CL22" s="96">
        <f>AP12</f>
        <v>59</v>
      </c>
      <c r="CM22" s="577"/>
      <c r="CN22" s="96">
        <f>AR12</f>
        <v>59</v>
      </c>
      <c r="CO22" s="96"/>
      <c r="CP22" s="96">
        <f>AT12</f>
        <v>59</v>
      </c>
      <c r="CQ22" s="96"/>
      <c r="CR22" s="96">
        <f>AV12</f>
        <v>59</v>
      </c>
      <c r="CS22" s="96"/>
      <c r="CT22" s="96"/>
      <c r="CU22" s="96"/>
      <c r="CV22" s="96"/>
    </row>
    <row r="23" spans="3:100" ht="18" customHeight="1">
      <c r="C23" s="515"/>
      <c r="D23" s="807"/>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8"/>
      <c r="AU23" s="808"/>
      <c r="AV23" s="808"/>
      <c r="AW23" s="808"/>
      <c r="AX23" s="809"/>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ok</v>
      </c>
      <c r="CG23" s="94"/>
      <c r="CH23" s="94" t="str">
        <f>IF(OR(ISBLANK(AL12),ISBLANK(AL9),ISBLANK(AL11)),"N/A",IF(CH22=100-AL11-AL9,"ok","&lt;&gt;"))</f>
        <v>ok</v>
      </c>
      <c r="CI23" s="94"/>
      <c r="CJ23" s="94" t="str">
        <f>IF(OR(ISBLANK(AN12),ISBLANK(AN9),ISBLANK(AN11)),"N/A",IF(CJ22=100-AN11-AN9,"ok","&lt;&gt;"))</f>
        <v>ok</v>
      </c>
      <c r="CK23" s="94"/>
      <c r="CL23" s="94" t="str">
        <f>IF(OR(ISBLANK(AP12),ISBLANK(AP9),ISBLANK(AP11)),"N/A",IF(CL22=100-AP11-AP9,"ok","&lt;&gt;"))</f>
        <v>ok</v>
      </c>
      <c r="CM23" s="94"/>
      <c r="CN23" s="94" t="str">
        <f>IF(OR(ISBLANK(AR12),ISBLANK(AR9),ISBLANK(AR11)),"N/A",IF(CN22=100-AR11-AR9,"ok","&lt;&gt;"))</f>
        <v>ok</v>
      </c>
      <c r="CO23" s="94"/>
      <c r="CP23" s="94" t="str">
        <f>IF(OR(ISBLANK(AT12),ISBLANK(AT9),ISBLANK(AT11)),"N/A",IF(CP22=100-AT11-AT9,"ok","&lt;&gt;"))</f>
        <v>ok</v>
      </c>
      <c r="CQ23" s="94"/>
      <c r="CR23" s="94" t="str">
        <f>IF(OR(ISBLANK(AV12),ISBLANK(AV9),ISBLANK(AV11)),"N/A",IF(CR22=100-AV11-AV9,"ok","&lt;&gt;"))</f>
        <v>ok</v>
      </c>
      <c r="CS23" s="94"/>
      <c r="CT23" s="94"/>
      <c r="CU23" s="94"/>
      <c r="CV23" s="94"/>
    </row>
    <row r="24" spans="3:100" ht="18" customHeight="1">
      <c r="C24" s="515"/>
      <c r="D24" s="807"/>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9"/>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5"/>
      <c r="D25" s="807"/>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c r="AG25" s="808"/>
      <c r="AH25" s="808"/>
      <c r="AI25" s="808"/>
      <c r="AJ25" s="808"/>
      <c r="AK25" s="808"/>
      <c r="AL25" s="808"/>
      <c r="AM25" s="808"/>
      <c r="AN25" s="808"/>
      <c r="AO25" s="808"/>
      <c r="AP25" s="808"/>
      <c r="AQ25" s="808"/>
      <c r="AR25" s="808"/>
      <c r="AS25" s="808"/>
      <c r="AT25" s="808"/>
      <c r="AU25" s="808"/>
      <c r="AV25" s="808"/>
      <c r="AW25" s="808"/>
      <c r="AX25" s="809"/>
      <c r="AY25" s="297" t="s">
        <v>57</v>
      </c>
      <c r="AZ25" s="298" t="s">
        <v>58</v>
      </c>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row>
    <row r="26" spans="3:100" ht="18" customHeight="1">
      <c r="C26" s="515"/>
      <c r="D26" s="807"/>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8"/>
      <c r="AU26" s="808"/>
      <c r="AV26" s="808"/>
      <c r="AW26" s="808"/>
      <c r="AX26" s="809"/>
      <c r="AY26" s="299" t="s">
        <v>60</v>
      </c>
      <c r="AZ26" s="298" t="s">
        <v>62</v>
      </c>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row>
    <row r="27" spans="3:100" ht="18" customHeight="1">
      <c r="C27" s="515"/>
      <c r="D27" s="807"/>
      <c r="E27" s="808"/>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8"/>
      <c r="AU27" s="808"/>
      <c r="AV27" s="808"/>
      <c r="AW27" s="808"/>
      <c r="AX27" s="809"/>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5"/>
      <c r="D28" s="807"/>
      <c r="E28" s="808"/>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808"/>
      <c r="AR28" s="808"/>
      <c r="AS28" s="808"/>
      <c r="AT28" s="808"/>
      <c r="AU28" s="808"/>
      <c r="AV28" s="808"/>
      <c r="AW28" s="808"/>
      <c r="AX28" s="809"/>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5"/>
      <c r="D29" s="807"/>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8"/>
      <c r="AU29" s="808"/>
      <c r="AV29" s="808"/>
      <c r="AW29" s="808"/>
      <c r="AX29" s="8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3:100" ht="18" customHeight="1">
      <c r="C30" s="515"/>
      <c r="D30" s="807"/>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9"/>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3:52" ht="18" customHeight="1">
      <c r="C31" s="515"/>
      <c r="D31" s="807"/>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8"/>
      <c r="AU31" s="808"/>
      <c r="AV31" s="808"/>
      <c r="AW31" s="808"/>
      <c r="AX31" s="809"/>
      <c r="AZ31" s="300"/>
    </row>
    <row r="32" spans="3:50" ht="18" customHeight="1">
      <c r="C32" s="515"/>
      <c r="D32" s="807"/>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808"/>
      <c r="AM32" s="808"/>
      <c r="AN32" s="808"/>
      <c r="AO32" s="808"/>
      <c r="AP32" s="808"/>
      <c r="AQ32" s="808"/>
      <c r="AR32" s="808"/>
      <c r="AS32" s="808"/>
      <c r="AT32" s="808"/>
      <c r="AU32" s="808"/>
      <c r="AV32" s="808"/>
      <c r="AW32" s="808"/>
      <c r="AX32" s="809"/>
    </row>
    <row r="33" spans="3:50" ht="18" customHeight="1">
      <c r="C33" s="515"/>
      <c r="D33" s="807"/>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809"/>
    </row>
    <row r="34" spans="3:50" ht="18" customHeight="1">
      <c r="C34" s="515"/>
      <c r="D34" s="807"/>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8"/>
      <c r="AU34" s="808"/>
      <c r="AV34" s="808"/>
      <c r="AW34" s="808"/>
      <c r="AX34" s="809"/>
    </row>
    <row r="35" spans="3:50" ht="18" customHeight="1">
      <c r="C35" s="515"/>
      <c r="D35" s="807"/>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808"/>
      <c r="AL35" s="808"/>
      <c r="AM35" s="808"/>
      <c r="AN35" s="808"/>
      <c r="AO35" s="808"/>
      <c r="AP35" s="808"/>
      <c r="AQ35" s="808"/>
      <c r="AR35" s="808"/>
      <c r="AS35" s="808"/>
      <c r="AT35" s="808"/>
      <c r="AU35" s="808"/>
      <c r="AV35" s="808"/>
      <c r="AW35" s="808"/>
      <c r="AX35" s="809"/>
    </row>
    <row r="36" spans="3:50" ht="18" customHeight="1">
      <c r="C36" s="515"/>
      <c r="D36" s="807"/>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808"/>
      <c r="AR36" s="808"/>
      <c r="AS36" s="808"/>
      <c r="AT36" s="808"/>
      <c r="AU36" s="808"/>
      <c r="AV36" s="808"/>
      <c r="AW36" s="808"/>
      <c r="AX36" s="809"/>
    </row>
    <row r="37" spans="3:50" ht="18" customHeight="1">
      <c r="C37" s="515"/>
      <c r="D37" s="807"/>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8"/>
      <c r="AU37" s="808"/>
      <c r="AV37" s="808"/>
      <c r="AW37" s="808"/>
      <c r="AX37" s="809"/>
    </row>
    <row r="38" spans="3:50" ht="18" customHeight="1">
      <c r="C38" s="515"/>
      <c r="D38" s="807"/>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8"/>
      <c r="AR38" s="808"/>
      <c r="AS38" s="808"/>
      <c r="AT38" s="808"/>
      <c r="AU38" s="808"/>
      <c r="AV38" s="808"/>
      <c r="AW38" s="808"/>
      <c r="AX38" s="809"/>
    </row>
    <row r="39" spans="3:50" ht="18" customHeight="1">
      <c r="C39" s="515"/>
      <c r="D39" s="807"/>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8"/>
      <c r="AN39" s="808"/>
      <c r="AO39" s="808"/>
      <c r="AP39" s="808"/>
      <c r="AQ39" s="808"/>
      <c r="AR39" s="808"/>
      <c r="AS39" s="808"/>
      <c r="AT39" s="808"/>
      <c r="AU39" s="808"/>
      <c r="AV39" s="808"/>
      <c r="AW39" s="808"/>
      <c r="AX39" s="809"/>
    </row>
    <row r="40" spans="3:50" ht="18" customHeight="1">
      <c r="C40" s="515"/>
      <c r="D40" s="807"/>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8"/>
      <c r="AU40" s="808"/>
      <c r="AV40" s="808"/>
      <c r="AW40" s="808"/>
      <c r="AX40" s="809"/>
    </row>
    <row r="41" spans="3:50" ht="18" customHeight="1">
      <c r="C41" s="515"/>
      <c r="D41" s="807"/>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8"/>
      <c r="AU41" s="808"/>
      <c r="AV41" s="808"/>
      <c r="AW41" s="808"/>
      <c r="AX41" s="809"/>
    </row>
    <row r="42" spans="3:50" ht="18" customHeight="1">
      <c r="C42" s="552"/>
      <c r="D42" s="807"/>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8"/>
      <c r="AU42" s="808"/>
      <c r="AV42" s="808"/>
      <c r="AW42" s="808"/>
      <c r="AX42" s="809"/>
    </row>
    <row r="43" spans="3:50" ht="18" customHeight="1">
      <c r="C43" s="550"/>
      <c r="D43" s="817"/>
      <c r="E43" s="818"/>
      <c r="F43" s="818"/>
      <c r="G43" s="818"/>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100" s="267" customFormat="1" ht="10.5" customHeight="1">
      <c r="A44" s="451"/>
      <c r="B44" s="398"/>
      <c r="C44" s="408"/>
      <c r="D44" s="408"/>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2"/>
      <c r="AH44" s="203"/>
      <c r="AI44" s="204"/>
      <c r="AJ44" s="205"/>
      <c r="AK44" s="204"/>
      <c r="AL44" s="203"/>
      <c r="AM44" s="204"/>
      <c r="AN44" s="203"/>
      <c r="AO44" s="323"/>
      <c r="AP44" s="323"/>
      <c r="AQ44" s="323"/>
      <c r="AR44" s="323"/>
      <c r="AS44" s="323"/>
      <c r="AT44" s="318"/>
      <c r="AU44" s="323"/>
      <c r="AV44" s="323"/>
      <c r="AW44" s="323"/>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formatCells="0" formatColumns="0" formatRows="0" insertColumns="0"/>
  <mergeCells count="26">
    <mergeCell ref="D32:AX32"/>
    <mergeCell ref="D33:AX33"/>
    <mergeCell ref="C5:AN5"/>
    <mergeCell ref="D22:AX22"/>
    <mergeCell ref="D23:AX23"/>
    <mergeCell ref="D24:AX24"/>
    <mergeCell ref="D15:AX15"/>
    <mergeCell ref="D17:AX17"/>
    <mergeCell ref="D16:AX16"/>
    <mergeCell ref="D30:AX30"/>
    <mergeCell ref="D31:AX31"/>
    <mergeCell ref="D25:AX25"/>
    <mergeCell ref="D26:AX26"/>
    <mergeCell ref="D27:AX27"/>
    <mergeCell ref="D28:AX28"/>
    <mergeCell ref="D29:AX29"/>
    <mergeCell ref="D34:AX34"/>
    <mergeCell ref="D35:AX35"/>
    <mergeCell ref="D42:AX42"/>
    <mergeCell ref="D43:AX43"/>
    <mergeCell ref="D36:AX36"/>
    <mergeCell ref="D37:AX37"/>
    <mergeCell ref="D38:AX38"/>
    <mergeCell ref="D39:AX39"/>
    <mergeCell ref="D40:AX40"/>
    <mergeCell ref="D41:AX41"/>
  </mergeCells>
  <conditionalFormatting sqref="F12">
    <cfRule type="cellIs" priority="72" dxfId="335" operator="greaterThan" stopIfTrue="1">
      <formula>100-F9-F11+0.1</formula>
    </cfRule>
  </conditionalFormatting>
  <conditionalFormatting sqref="H12">
    <cfRule type="cellIs" priority="71" dxfId="335" operator="greaterThan" stopIfTrue="1">
      <formula>100-H9-H11+0.1</formula>
    </cfRule>
  </conditionalFormatting>
  <conditionalFormatting sqref="BV20 CJ20 CL20 BB20 CV20 CN20 CP20 BP20 BN20 BL20 BJ20 BZ20 CB20 CD20 BX20 BT20 BR20 CF20 CH20">
    <cfRule type="cellIs" priority="48" dxfId="335"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9" dxfId="335"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50" dxfId="335" operator="equal" stopIfTrue="1">
      <formula>"&gt; 25%"</formula>
    </cfRule>
  </conditionalFormatting>
  <conditionalFormatting sqref="CR20 CT20">
    <cfRule type="cellIs" priority="43" dxfId="335" operator="lessThan" stopIfTrue="1">
      <formula>CR21</formula>
    </cfRule>
  </conditionalFormatting>
  <conditionalFormatting sqref="CT18 CT23 CT21 CR18 CR21 CR23">
    <cfRule type="cellIs" priority="44" dxfId="335" operator="equal" stopIfTrue="1">
      <formula>"&lt;&gt;"</formula>
    </cfRule>
  </conditionalFormatting>
  <conditionalFormatting sqref="CT8:CT12 CR8:CR12">
    <cfRule type="cellIs" priority="45" dxfId="335" operator="equal" stopIfTrue="1">
      <formula>"&gt; 25%"</formula>
    </cfRule>
  </conditionalFormatting>
  <conditionalFormatting sqref="CJ8:CJ12">
    <cfRule type="cellIs" priority="24" dxfId="335" operator="equal" stopIfTrue="1">
      <formula>"&gt; 25%"</formula>
    </cfRule>
  </conditionalFormatting>
  <conditionalFormatting sqref="CJ20">
    <cfRule type="cellIs" priority="22" dxfId="335" operator="lessThan" stopIfTrue="1">
      <formula>CJ21</formula>
    </cfRule>
  </conditionalFormatting>
  <conditionalFormatting sqref="CJ18 CJ21 CJ23">
    <cfRule type="cellIs" priority="23" dxfId="335" operator="equal" stopIfTrue="1">
      <formula>"&lt;&gt;"</formula>
    </cfRule>
  </conditionalFormatting>
  <conditionalFormatting sqref="J12">
    <cfRule type="cellIs" priority="21" dxfId="335" operator="greaterThan" stopIfTrue="1">
      <formula>100-J9-J11+0.1</formula>
    </cfRule>
  </conditionalFormatting>
  <conditionalFormatting sqref="L12">
    <cfRule type="cellIs" priority="20" dxfId="335" operator="greaterThan" stopIfTrue="1">
      <formula>100-L9-L11+0.1</formula>
    </cfRule>
  </conditionalFormatting>
  <conditionalFormatting sqref="N12">
    <cfRule type="cellIs" priority="19" dxfId="335" operator="greaterThan" stopIfTrue="1">
      <formula>100-N9-N11+0.1</formula>
    </cfRule>
  </conditionalFormatting>
  <conditionalFormatting sqref="P12">
    <cfRule type="cellIs" priority="18" dxfId="335" operator="greaterThan" stopIfTrue="1">
      <formula>100-P9-P11+0.1</formula>
    </cfRule>
  </conditionalFormatting>
  <conditionalFormatting sqref="R12">
    <cfRule type="cellIs" priority="17" dxfId="335" operator="greaterThan" stopIfTrue="1">
      <formula>100-R9-R11+0.1</formula>
    </cfRule>
  </conditionalFormatting>
  <conditionalFormatting sqref="T12">
    <cfRule type="cellIs" priority="16" dxfId="335" operator="greaterThan" stopIfTrue="1">
      <formula>100-T9-T11+0.1</formula>
    </cfRule>
  </conditionalFormatting>
  <conditionalFormatting sqref="V12">
    <cfRule type="cellIs" priority="15" dxfId="335" operator="greaterThan" stopIfTrue="1">
      <formula>100-V9-V11+0.1</formula>
    </cfRule>
  </conditionalFormatting>
  <conditionalFormatting sqref="X12">
    <cfRule type="cellIs" priority="14" dxfId="335" operator="greaterThan" stopIfTrue="1">
      <formula>100-X9-X11+0.1</formula>
    </cfRule>
  </conditionalFormatting>
  <conditionalFormatting sqref="Z12">
    <cfRule type="cellIs" priority="13" dxfId="335" operator="greaterThan" stopIfTrue="1">
      <formula>100-Z9-Z11+0.1</formula>
    </cfRule>
  </conditionalFormatting>
  <conditionalFormatting sqref="AB12">
    <cfRule type="cellIs" priority="12" dxfId="335" operator="greaterThan" stopIfTrue="1">
      <formula>100-AB9-AB11+0.1</formula>
    </cfRule>
  </conditionalFormatting>
  <conditionalFormatting sqref="AD12">
    <cfRule type="cellIs" priority="11" dxfId="335" operator="greaterThan" stopIfTrue="1">
      <formula>100-AD9-AD11+0.1</formula>
    </cfRule>
  </conditionalFormatting>
  <conditionalFormatting sqref="AF12">
    <cfRule type="cellIs" priority="10" dxfId="335" operator="greaterThan" stopIfTrue="1">
      <formula>100-AF9-AF11+0.1</formula>
    </cfRule>
  </conditionalFormatting>
  <conditionalFormatting sqref="AH12">
    <cfRule type="cellIs" priority="9" dxfId="335" operator="greaterThan" stopIfTrue="1">
      <formula>100-AH9-AH11+0.1</formula>
    </cfRule>
  </conditionalFormatting>
  <conditionalFormatting sqref="AJ12 AL12 AN12 AP12 AR12 AT12 AV12">
    <cfRule type="cellIs" priority="1" dxfId="335" operator="greaterThan" stopIfTrue="1">
      <formula>100-'W5'!#REF!-AJ11+0.1</formula>
    </cfRule>
  </conditionalFormatting>
  <printOptions horizontalCentered="1"/>
  <pageMargins left="0.56" right="0.4" top="0.65" bottom="1" header="0.43" footer="0.5"/>
  <pageSetup fitToHeight="0" fitToWidth="1" horizontalDpi="600" verticalDpi="600" orientation="landscape" paperSize="9" scale="61" r:id="rId3"/>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2020-06-08T20:25:10Z</cp:lastPrinted>
  <dcterms:created xsi:type="dcterms:W3CDTF">2001-01-18T18:38:40Z</dcterms:created>
  <dcterms:modified xsi:type="dcterms:W3CDTF">2021-07-22T13:28:29Z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